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wdp" ContentType="image/vnd.ms-photo"/>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66925"/>
  <mc:AlternateContent xmlns:mc="http://schemas.openxmlformats.org/markup-compatibility/2006">
    <mc:Choice Requires="x15">
      <x15ac:absPath xmlns:x15ac="http://schemas.microsoft.com/office/spreadsheetml/2010/11/ac" url="C:\Users\Brenna-Leigh\Desktop\"/>
    </mc:Choice>
  </mc:AlternateContent>
  <xr:revisionPtr revIDLastSave="0" documentId="13_ncr:1_{7FE2C2A7-48EF-4456-B21C-58F6F9EF6A80}" xr6:coauthVersionLast="37" xr6:coauthVersionMax="37" xr10:uidLastSave="{00000000-0000-0000-0000-000000000000}"/>
  <bookViews>
    <workbookView xWindow="0" yWindow="0" windowWidth="20490" windowHeight="5985" tabRatio="951" activeTab="1" xr2:uid="{00000000-000D-0000-FFFF-FFFF00000000}"/>
  </bookViews>
  <sheets>
    <sheet name="Using the Model" sheetId="104" r:id="rId1"/>
    <sheet name="Interface" sheetId="2" r:id="rId2"/>
    <sheet name="Validation" sheetId="11" state="hidden" r:id="rId3"/>
    <sheet name="Built-In Assumptions" sheetId="100" r:id="rId4"/>
    <sheet name="Production Assumptions" sheetId="20" r:id="rId5"/>
    <sheet name="General Species Assumps" sheetId="97" r:id="rId6"/>
    <sheet name="Technical Information (RAS)" sheetId="101" r:id="rId7"/>
    <sheet name="Technical Information (POND)" sheetId="103" r:id="rId8"/>
    <sheet name="FEED and BIOMASS" sheetId="102" r:id="rId9"/>
    <sheet name="HR" sheetId="32" state="hidden" r:id="rId10"/>
    <sheet name="Bio-Model" sheetId="74" state="hidden" r:id="rId11"/>
    <sheet name="CAPEX" sheetId="98" r:id="rId12"/>
    <sheet name="OPEX - RAS" sheetId="22" r:id="rId13"/>
    <sheet name="Working Capital - RAS" sheetId="36" r:id="rId14"/>
    <sheet name="IS - RAS" sheetId="24" r:id="rId15"/>
    <sheet name="CF - RAS" sheetId="28" r:id="rId16"/>
    <sheet name="BS - RAS" sheetId="26" r:id="rId17"/>
    <sheet name="NPV &amp; PI - RAS" sheetId="19" r:id="rId18"/>
    <sheet name="IRR - RAS" sheetId="18" r:id="rId19"/>
    <sheet name="DEP - RAS" sheetId="47" state="hidden" r:id="rId20"/>
    <sheet name="Loan - RAS" sheetId="13" state="hidden" r:id="rId21"/>
    <sheet name="Loan Int &amp; Bal - RAS" sheetId="40" state="hidden" r:id="rId22"/>
    <sheet name="OPEX - Pond" sheetId="23" r:id="rId23"/>
    <sheet name="Working Capital - Pond" sheetId="39" r:id="rId24"/>
    <sheet name="IS - Pond" sheetId="25" r:id="rId25"/>
    <sheet name="BS - Pond" sheetId="27" r:id="rId26"/>
    <sheet name="CF - Pond" sheetId="29" r:id="rId27"/>
    <sheet name="IRR - Pond" sheetId="45" r:id="rId28"/>
    <sheet name="NPV &amp; PI - Pond" sheetId="46" r:id="rId29"/>
    <sheet name="DEP - Pond" sheetId="48" state="hidden" r:id="rId30"/>
    <sheet name="LOAN - Pond" sheetId="41" state="hidden" r:id="rId31"/>
    <sheet name="Loan Int &amp; Bal - Pond" sheetId="42" state="hidden" r:id="rId32"/>
    <sheet name="RISK" sheetId="17" state="hidden" r:id="rId33"/>
  </sheets>
  <externalReferences>
    <externalReference r:id="rId34"/>
  </externalReferences>
  <definedNames>
    <definedName name="CHART" localSheetId="3">IF([1]Interface!$G$7="Recirculation Aquaculture System (RAS)", INDIRECT('[1]BREAK-EVEN GRAPH'!$B$2, IF([1]Interface!$G$7="Pond culture", INDIRECT('[1]BREAK-EVEN GRAPH'!$B$5))))</definedName>
    <definedName name="CHART">IF(Interface!$G$7="Recirculation Aquaculture System (RAS)", INDIRECT(#REF!, IF(Interface!$G$7="Pond culture", INDIRECT(#REF!))))</definedName>
  </definedNames>
  <calcPr calcId="17902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46" i="2" l="1"/>
  <c r="G8" i="2" l="1"/>
  <c r="C18" i="103" l="1"/>
  <c r="K7" i="103"/>
  <c r="F3" i="102"/>
  <c r="C18" i="101"/>
  <c r="E19" i="2" l="1"/>
  <c r="F21" i="20"/>
  <c r="F22" i="20" s="1"/>
  <c r="E22" i="20"/>
  <c r="E23" i="20"/>
  <c r="E24" i="20"/>
  <c r="E21" i="20"/>
  <c r="E19" i="20"/>
  <c r="F16" i="20"/>
  <c r="F17" i="20" s="1"/>
  <c r="E18" i="20"/>
  <c r="E17" i="20"/>
  <c r="E16" i="20"/>
  <c r="H10" i="25"/>
  <c r="I10" i="25"/>
  <c r="K10" i="25"/>
  <c r="L10" i="25"/>
  <c r="F10" i="25"/>
  <c r="F7" i="20"/>
  <c r="I13" i="102"/>
  <c r="F8" i="20" s="1"/>
  <c r="C35" i="102"/>
  <c r="C29" i="102"/>
  <c r="C26" i="102"/>
  <c r="C24" i="102"/>
  <c r="G25" i="97"/>
  <c r="G32" i="97"/>
  <c r="G26" i="97"/>
  <c r="G23" i="97"/>
  <c r="G21" i="97"/>
  <c r="C12" i="20"/>
  <c r="K14" i="101"/>
  <c r="D23" i="97"/>
  <c r="F5" i="20" s="1"/>
  <c r="C15" i="101" s="1"/>
  <c r="C16" i="101" s="1"/>
  <c r="C5" i="102" s="1"/>
  <c r="C7" i="102" s="1"/>
  <c r="D20" i="97"/>
  <c r="F6" i="20" s="1"/>
  <c r="C63" i="20"/>
  <c r="C33" i="20"/>
  <c r="E11" i="98"/>
  <c r="C32" i="98"/>
  <c r="C21" i="103"/>
  <c r="E20" i="103"/>
  <c r="D6" i="48"/>
  <c r="B6" i="48"/>
  <c r="D16" i="48"/>
  <c r="D15" i="48"/>
  <c r="B11" i="48"/>
  <c r="B12" i="48"/>
  <c r="B13" i="48"/>
  <c r="B14" i="48"/>
  <c r="B15" i="48"/>
  <c r="B16" i="48"/>
  <c r="B17" i="48"/>
  <c r="B10" i="48"/>
  <c r="M6" i="98"/>
  <c r="L15" i="98" s="1"/>
  <c r="P15" i="98" s="1"/>
  <c r="Q15" i="98" s="1"/>
  <c r="L6" i="98"/>
  <c r="O13" i="98"/>
  <c r="M18" i="98"/>
  <c r="D6" i="98"/>
  <c r="D7" i="98" s="1"/>
  <c r="D8" i="98" s="1"/>
  <c r="D9" i="98" s="1"/>
  <c r="D11" i="98" s="1"/>
  <c r="D12" i="98" s="1"/>
  <c r="K5" i="103"/>
  <c r="K6" i="103" s="1"/>
  <c r="C8" i="103"/>
  <c r="E5" i="103" s="1"/>
  <c r="E25" i="98"/>
  <c r="E24" i="98"/>
  <c r="E22" i="98"/>
  <c r="E23" i="98" s="1"/>
  <c r="G23" i="98"/>
  <c r="G24" i="98"/>
  <c r="G25" i="98"/>
  <c r="G22" i="98"/>
  <c r="H22" i="98" s="1"/>
  <c r="E29" i="101"/>
  <c r="C14" i="20" l="1"/>
  <c r="C12" i="102"/>
  <c r="C15" i="103"/>
  <c r="C16" i="103" s="1"/>
  <c r="K15" i="101"/>
  <c r="H24" i="98"/>
  <c r="H25" i="98"/>
  <c r="H23" i="98"/>
  <c r="L3" i="102"/>
  <c r="L13" i="98"/>
  <c r="P6" i="98"/>
  <c r="M17" i="98"/>
  <c r="P17" i="98" s="1"/>
  <c r="Q17" i="98" s="1"/>
  <c r="L16" i="98"/>
  <c r="P16" i="98" s="1"/>
  <c r="D14" i="98"/>
  <c r="D15" i="98" s="1"/>
  <c r="D16" i="98" s="1"/>
  <c r="D17" i="98" s="1"/>
  <c r="D18" i="98" s="1"/>
  <c r="D19" i="98" s="1"/>
  <c r="D20" i="98" s="1"/>
  <c r="D21" i="98" s="1"/>
  <c r="D22" i="98" s="1"/>
  <c r="D23" i="98" s="1"/>
  <c r="D24" i="98" s="1"/>
  <c r="D25" i="98" s="1"/>
  <c r="D27" i="98" s="1"/>
  <c r="Q6" i="98" l="1"/>
  <c r="E6" i="48" s="1"/>
  <c r="F6" i="48" s="1"/>
  <c r="Q16" i="98"/>
  <c r="E13" i="48" s="1"/>
  <c r="L4" i="102"/>
  <c r="I7" i="102" s="1"/>
  <c r="K12" i="103"/>
  <c r="I5" i="102" s="1"/>
  <c r="D29" i="98"/>
  <c r="D28" i="98"/>
  <c r="D31" i="98" l="1"/>
  <c r="D32" i="98" s="1"/>
  <c r="D30" i="98"/>
  <c r="C14" i="102" l="1"/>
  <c r="I14" i="102" s="1"/>
  <c r="I15" i="102"/>
  <c r="F20" i="103"/>
  <c r="G20" i="103" s="1"/>
  <c r="D10" i="23" s="1"/>
  <c r="K14" i="103"/>
  <c r="F21" i="101"/>
  <c r="F20" i="101"/>
  <c r="E21" i="101"/>
  <c r="E20" i="101"/>
  <c r="G4" i="97"/>
  <c r="G17" i="97"/>
  <c r="G11" i="97"/>
  <c r="G6" i="97"/>
  <c r="I12" i="102"/>
  <c r="H15" i="98"/>
  <c r="I15" i="98" s="1"/>
  <c r="N8" i="98"/>
  <c r="F9" i="98"/>
  <c r="H9" i="98" s="1"/>
  <c r="L7" i="98"/>
  <c r="C6" i="98"/>
  <c r="C14" i="98"/>
  <c r="G14" i="98"/>
  <c r="J10" i="2"/>
  <c r="G11" i="20" s="1"/>
  <c r="G15" i="22" s="1"/>
  <c r="F4" i="20"/>
  <c r="E5" i="101"/>
  <c r="K5" i="101"/>
  <c r="K6" i="101" s="1"/>
  <c r="C5" i="101"/>
  <c r="L27" i="98"/>
  <c r="H32" i="98"/>
  <c r="C8" i="98"/>
  <c r="C9" i="98"/>
  <c r="C7" i="98"/>
  <c r="H9" i="22" l="1"/>
  <c r="I9" i="22" s="1"/>
  <c r="J9" i="22" s="1"/>
  <c r="K9" i="22" s="1"/>
  <c r="L9" i="22" s="1"/>
  <c r="M9" i="22" s="1"/>
  <c r="N9" i="22" s="1"/>
  <c r="O9" i="22" s="1"/>
  <c r="H7" i="22"/>
  <c r="I7" i="22" s="1"/>
  <c r="J7" i="22" s="1"/>
  <c r="K7" i="22" s="1"/>
  <c r="L7" i="22" s="1"/>
  <c r="M7" i="22" s="1"/>
  <c r="N7" i="22" s="1"/>
  <c r="O7" i="22" s="1"/>
  <c r="G21" i="101"/>
  <c r="I6" i="22"/>
  <c r="J6" i="22" s="1"/>
  <c r="K6" i="22" s="1"/>
  <c r="L6" i="22" s="1"/>
  <c r="M6" i="22" s="1"/>
  <c r="N6" i="22" s="1"/>
  <c r="O6" i="22" s="1"/>
  <c r="G10" i="20"/>
  <c r="H16" i="22" s="1"/>
  <c r="I16" i="22" s="1"/>
  <c r="J16" i="22" s="1"/>
  <c r="K16" i="22" s="1"/>
  <c r="L16" i="22" s="1"/>
  <c r="M16" i="22" s="1"/>
  <c r="N16" i="22" s="1"/>
  <c r="O16" i="22" s="1"/>
  <c r="H6" i="22"/>
  <c r="I6" i="23"/>
  <c r="J6" i="23" s="1"/>
  <c r="K6" i="23" s="1"/>
  <c r="L6" i="23" s="1"/>
  <c r="M6" i="23" s="1"/>
  <c r="N6" i="23" s="1"/>
  <c r="O6" i="23" s="1"/>
  <c r="H8" i="22"/>
  <c r="I8" i="22" s="1"/>
  <c r="J8" i="22" s="1"/>
  <c r="K8" i="22" s="1"/>
  <c r="L8" i="22" s="1"/>
  <c r="M8" i="22" s="1"/>
  <c r="N8" i="22" s="1"/>
  <c r="O8" i="22" s="1"/>
  <c r="C17" i="101"/>
  <c r="H6" i="98"/>
  <c r="I6" i="98" s="1"/>
  <c r="C17" i="103"/>
  <c r="K15" i="103"/>
  <c r="I16" i="102"/>
  <c r="K12" i="101"/>
  <c r="G20" i="101"/>
  <c r="D13" i="22" s="1"/>
  <c r="I15" i="23" l="1"/>
  <c r="J15" i="23" s="1"/>
  <c r="K15" i="23" s="1"/>
  <c r="L15" i="23" s="1"/>
  <c r="M15" i="23" s="1"/>
  <c r="N15" i="23" s="1"/>
  <c r="O15" i="23" s="1"/>
  <c r="C15" i="23" l="1"/>
  <c r="C15" i="102" l="1"/>
  <c r="B13" i="25" l="1"/>
  <c r="B14" i="25"/>
  <c r="B15" i="25"/>
  <c r="D15" i="25"/>
  <c r="B9" i="39"/>
  <c r="B10" i="39"/>
  <c r="B11" i="39"/>
  <c r="C11" i="39"/>
  <c r="D11" i="39"/>
  <c r="E11" i="39"/>
  <c r="F11" i="39"/>
  <c r="G11" i="39"/>
  <c r="H11" i="39"/>
  <c r="B14" i="24"/>
  <c r="B15" i="24"/>
  <c r="B10" i="36"/>
  <c r="B11" i="36"/>
  <c r="D14" i="32"/>
  <c r="E14" i="32" s="1"/>
  <c r="F14" i="32" s="1"/>
  <c r="G14" i="32" s="1"/>
  <c r="H14" i="32" s="1"/>
  <c r="I14" i="32" s="1"/>
  <c r="J14" i="32" s="1"/>
  <c r="K14" i="32" s="1"/>
  <c r="L14" i="32" s="1"/>
  <c r="M14" i="32" s="1"/>
  <c r="N14" i="32" s="1"/>
  <c r="O14" i="32" s="1"/>
  <c r="R14" i="32" s="1"/>
  <c r="U14" i="32" s="1"/>
  <c r="X14" i="32" s="1"/>
  <c r="AA14" i="32" s="1"/>
  <c r="I11" i="39" l="1"/>
  <c r="M10" i="98"/>
  <c r="D22" i="17" l="1"/>
  <c r="C23" i="17" s="1"/>
  <c r="D19" i="17"/>
  <c r="C20" i="17" s="1"/>
  <c r="D14" i="17"/>
  <c r="C16" i="17" s="1"/>
  <c r="D9" i="17"/>
  <c r="C10" i="17" s="1"/>
  <c r="B13" i="41"/>
  <c r="B12" i="41" s="1"/>
  <c r="D24" i="48"/>
  <c r="B24" i="48"/>
  <c r="D23" i="48"/>
  <c r="B23" i="48"/>
  <c r="D22" i="48"/>
  <c r="B22" i="48"/>
  <c r="D21" i="48"/>
  <c r="B21" i="48"/>
  <c r="D20" i="48"/>
  <c r="B20" i="48"/>
  <c r="D19" i="48"/>
  <c r="B19" i="48"/>
  <c r="D17" i="48"/>
  <c r="D14" i="48"/>
  <c r="D13" i="48"/>
  <c r="D12" i="48"/>
  <c r="D11" i="48"/>
  <c r="D10" i="48"/>
  <c r="D8" i="48"/>
  <c r="D7" i="48"/>
  <c r="G4" i="48"/>
  <c r="G6" i="48" s="1"/>
  <c r="M22" i="29"/>
  <c r="L22" i="29"/>
  <c r="K22" i="29"/>
  <c r="J22" i="29"/>
  <c r="I22" i="29"/>
  <c r="H22" i="29"/>
  <c r="G22" i="29"/>
  <c r="F22" i="29"/>
  <c r="E22" i="29"/>
  <c r="M16" i="29"/>
  <c r="L16" i="29"/>
  <c r="K16" i="29"/>
  <c r="J16" i="29"/>
  <c r="I16" i="29"/>
  <c r="H16" i="29"/>
  <c r="G16" i="29"/>
  <c r="F16" i="29"/>
  <c r="E16" i="29"/>
  <c r="D16" i="29"/>
  <c r="M9" i="29"/>
  <c r="L9" i="29"/>
  <c r="K9" i="29"/>
  <c r="J9" i="29"/>
  <c r="I9" i="29"/>
  <c r="H9" i="29"/>
  <c r="G9" i="29"/>
  <c r="F9" i="29"/>
  <c r="E9" i="29"/>
  <c r="D9" i="29"/>
  <c r="B36" i="25"/>
  <c r="B35" i="25"/>
  <c r="B34" i="25"/>
  <c r="B33" i="25"/>
  <c r="B32" i="25"/>
  <c r="B31" i="25"/>
  <c r="B30" i="25"/>
  <c r="B29" i="25"/>
  <c r="B28" i="25"/>
  <c r="B27" i="25"/>
  <c r="B25" i="25"/>
  <c r="B24" i="25"/>
  <c r="B23" i="25"/>
  <c r="B11" i="25"/>
  <c r="B10" i="25"/>
  <c r="B6" i="25"/>
  <c r="O25" i="23"/>
  <c r="N25" i="23"/>
  <c r="M25" i="23"/>
  <c r="L25" i="23"/>
  <c r="K25" i="23"/>
  <c r="J25" i="23"/>
  <c r="I25" i="23"/>
  <c r="H21" i="39" s="1"/>
  <c r="H25" i="23"/>
  <c r="G21" i="39" s="1"/>
  <c r="G25" i="23"/>
  <c r="F21" i="39" s="1"/>
  <c r="F25" i="23"/>
  <c r="E21" i="39" s="1"/>
  <c r="E25" i="23"/>
  <c r="D21" i="39" s="1"/>
  <c r="D25" i="23"/>
  <c r="C21" i="39" s="1"/>
  <c r="D8" i="39"/>
  <c r="D3" i="23"/>
  <c r="B25" i="39"/>
  <c r="B24" i="39"/>
  <c r="B23" i="39"/>
  <c r="H22" i="39"/>
  <c r="G22" i="39"/>
  <c r="E22" i="39"/>
  <c r="D22" i="39"/>
  <c r="B22" i="39"/>
  <c r="B21" i="39"/>
  <c r="B20" i="39"/>
  <c r="H19" i="39"/>
  <c r="G19" i="39"/>
  <c r="F19" i="39"/>
  <c r="E19" i="39"/>
  <c r="D19" i="39"/>
  <c r="B19" i="39"/>
  <c r="B18" i="39"/>
  <c r="B17" i="39"/>
  <c r="B16" i="39"/>
  <c r="B15" i="39"/>
  <c r="B7" i="39"/>
  <c r="B6" i="39"/>
  <c r="B13" i="13"/>
  <c r="B12" i="13" s="1"/>
  <c r="D28" i="47"/>
  <c r="B28" i="47"/>
  <c r="D27" i="47"/>
  <c r="B27" i="47"/>
  <c r="D26" i="47"/>
  <c r="B26" i="47"/>
  <c r="D25" i="47"/>
  <c r="B25" i="47"/>
  <c r="D24" i="47"/>
  <c r="B24" i="47"/>
  <c r="D23" i="47"/>
  <c r="B23" i="47"/>
  <c r="D21" i="47"/>
  <c r="B21" i="47"/>
  <c r="D20" i="47"/>
  <c r="B20" i="47"/>
  <c r="D19" i="47"/>
  <c r="B19" i="47"/>
  <c r="D18" i="47"/>
  <c r="B18" i="47"/>
  <c r="D17" i="47"/>
  <c r="B17" i="47"/>
  <c r="D16" i="47"/>
  <c r="B16" i="47"/>
  <c r="D15" i="47"/>
  <c r="B15" i="47"/>
  <c r="D14" i="47"/>
  <c r="B14" i="47"/>
  <c r="D13" i="47"/>
  <c r="B13" i="47"/>
  <c r="D12" i="47"/>
  <c r="B12" i="47"/>
  <c r="D11" i="47"/>
  <c r="B11" i="47"/>
  <c r="D9" i="47"/>
  <c r="B9" i="47"/>
  <c r="D8" i="47"/>
  <c r="B8" i="47"/>
  <c r="D7" i="47"/>
  <c r="B7" i="47"/>
  <c r="D6" i="47"/>
  <c r="B6" i="47"/>
  <c r="G4" i="47"/>
  <c r="H4" i="47" s="1"/>
  <c r="M27" i="28"/>
  <c r="L27" i="28"/>
  <c r="K27" i="28"/>
  <c r="J27" i="28"/>
  <c r="I27" i="28"/>
  <c r="H27" i="28"/>
  <c r="G27" i="28"/>
  <c r="F27" i="28"/>
  <c r="E27" i="28"/>
  <c r="M22" i="28"/>
  <c r="L22" i="28"/>
  <c r="K22" i="28"/>
  <c r="J22" i="28"/>
  <c r="I22" i="28"/>
  <c r="H22" i="28"/>
  <c r="G22" i="28"/>
  <c r="F22" i="28"/>
  <c r="E22" i="28"/>
  <c r="B35" i="24"/>
  <c r="B34" i="24"/>
  <c r="B33" i="24"/>
  <c r="B32" i="24"/>
  <c r="B31" i="24"/>
  <c r="B30" i="24"/>
  <c r="B29" i="24"/>
  <c r="B28" i="24"/>
  <c r="B27" i="24"/>
  <c r="B25" i="24"/>
  <c r="B24" i="24"/>
  <c r="B23" i="24"/>
  <c r="B13" i="24"/>
  <c r="B11" i="24"/>
  <c r="B10" i="24"/>
  <c r="B6" i="24"/>
  <c r="B24" i="36"/>
  <c r="B23" i="36"/>
  <c r="B22" i="36"/>
  <c r="H21" i="36"/>
  <c r="G21" i="36"/>
  <c r="E21" i="36"/>
  <c r="D21" i="36"/>
  <c r="B21" i="36"/>
  <c r="B20" i="36"/>
  <c r="B19" i="36"/>
  <c r="H18" i="36"/>
  <c r="G18" i="36"/>
  <c r="F18" i="36"/>
  <c r="E18" i="36"/>
  <c r="D18" i="36"/>
  <c r="B18" i="36"/>
  <c r="B17" i="36"/>
  <c r="B16" i="36"/>
  <c r="B15" i="36"/>
  <c r="H9" i="36"/>
  <c r="G9" i="36"/>
  <c r="F9" i="36"/>
  <c r="E9" i="36"/>
  <c r="D9" i="36"/>
  <c r="B9" i="36"/>
  <c r="B7" i="36"/>
  <c r="O27" i="22"/>
  <c r="N27" i="22"/>
  <c r="M27" i="22"/>
  <c r="L27" i="22"/>
  <c r="K27" i="22"/>
  <c r="J27" i="22"/>
  <c r="I27" i="22"/>
  <c r="H20" i="36" s="1"/>
  <c r="H27" i="22"/>
  <c r="G20" i="36" s="1"/>
  <c r="G27" i="22"/>
  <c r="F20" i="36" s="1"/>
  <c r="F27" i="22"/>
  <c r="E20" i="36" s="1"/>
  <c r="E27" i="22"/>
  <c r="D20" i="36" s="1"/>
  <c r="D27" i="22"/>
  <c r="C20" i="36" s="1"/>
  <c r="D3" i="22"/>
  <c r="O26" i="98"/>
  <c r="G31" i="98"/>
  <c r="L26" i="98"/>
  <c r="I32" i="98"/>
  <c r="E28" i="47" s="1"/>
  <c r="F28" i="47" s="1"/>
  <c r="O27" i="98"/>
  <c r="E28" i="98"/>
  <c r="C28" i="98"/>
  <c r="O23" i="98" s="1"/>
  <c r="O25" i="98"/>
  <c r="O24" i="98"/>
  <c r="N23" i="98"/>
  <c r="M23" i="98"/>
  <c r="L23" i="98"/>
  <c r="O22" i="98"/>
  <c r="G21" i="98"/>
  <c r="H21" i="98" s="1"/>
  <c r="I21" i="98" s="1"/>
  <c r="E17" i="47" s="1"/>
  <c r="F17" i="47" s="1"/>
  <c r="G20" i="98"/>
  <c r="H20" i="98" s="1"/>
  <c r="I20" i="98" s="1"/>
  <c r="E16" i="47" s="1"/>
  <c r="F16" i="47" s="1"/>
  <c r="G16" i="47" s="1"/>
  <c r="H16" i="47" s="1"/>
  <c r="G18" i="98"/>
  <c r="E12" i="48"/>
  <c r="E12" i="47"/>
  <c r="F12" i="47" s="1"/>
  <c r="K8" i="98"/>
  <c r="B8" i="48" s="1"/>
  <c r="O8" i="98"/>
  <c r="P8" i="98" s="1"/>
  <c r="Q8" i="98" s="1"/>
  <c r="L8" i="98"/>
  <c r="L11" i="98" s="1"/>
  <c r="F8" i="98"/>
  <c r="O7" i="98"/>
  <c r="K7" i="98"/>
  <c r="B7" i="48" s="1"/>
  <c r="F7" i="98"/>
  <c r="N7" i="98" s="1"/>
  <c r="E6" i="98"/>
  <c r="C32" i="32"/>
  <c r="C31" i="32"/>
  <c r="C30" i="32"/>
  <c r="AC29" i="32"/>
  <c r="AB29" i="32"/>
  <c r="AA29" i="32"/>
  <c r="Z29" i="32"/>
  <c r="Y29" i="32"/>
  <c r="X29" i="32"/>
  <c r="W29" i="32"/>
  <c r="V29" i="32"/>
  <c r="U29" i="32"/>
  <c r="T29" i="32"/>
  <c r="S29" i="32"/>
  <c r="R29" i="32"/>
  <c r="O29" i="32"/>
  <c r="N29" i="32"/>
  <c r="M29" i="32"/>
  <c r="L29" i="32"/>
  <c r="K29" i="32"/>
  <c r="J29" i="32"/>
  <c r="I29" i="32"/>
  <c r="H29" i="32"/>
  <c r="G29" i="32"/>
  <c r="F29" i="32"/>
  <c r="E29" i="32"/>
  <c r="D29" i="32"/>
  <c r="R28" i="32"/>
  <c r="D28" i="32"/>
  <c r="C16" i="32"/>
  <c r="C15" i="32"/>
  <c r="C14" i="32"/>
  <c r="AC13" i="32"/>
  <c r="AB13" i="32"/>
  <c r="AA13" i="32"/>
  <c r="Z13" i="32"/>
  <c r="Y13" i="32"/>
  <c r="X13" i="32"/>
  <c r="W13" i="32"/>
  <c r="V13" i="32"/>
  <c r="U13" i="32"/>
  <c r="T13" i="32"/>
  <c r="S13" i="32"/>
  <c r="R13" i="32"/>
  <c r="O13" i="32"/>
  <c r="N13" i="32"/>
  <c r="M13" i="32"/>
  <c r="L13" i="32"/>
  <c r="K13" i="32"/>
  <c r="J13" i="32"/>
  <c r="I13" i="32"/>
  <c r="H13" i="32"/>
  <c r="G13" i="32"/>
  <c r="F13" i="32"/>
  <c r="E13" i="32"/>
  <c r="D13" i="32"/>
  <c r="R12" i="32"/>
  <c r="D12" i="32"/>
  <c r="D18" i="74"/>
  <c r="C18" i="98" s="1"/>
  <c r="D11" i="74"/>
  <c r="B6" i="74"/>
  <c r="D14" i="97"/>
  <c r="D12" i="97"/>
  <c r="D11" i="97"/>
  <c r="D9" i="97"/>
  <c r="D8" i="97"/>
  <c r="C83" i="20"/>
  <c r="C82" i="20"/>
  <c r="C81" i="20"/>
  <c r="C80" i="20"/>
  <c r="C79" i="20"/>
  <c r="C75" i="20"/>
  <c r="C73" i="20"/>
  <c r="A74" i="20"/>
  <c r="C71" i="20" s="1"/>
  <c r="C66" i="20"/>
  <c r="C65" i="20"/>
  <c r="N23" i="22"/>
  <c r="C61" i="20"/>
  <c r="H33" i="20"/>
  <c r="E33" i="20"/>
  <c r="H32" i="20"/>
  <c r="E32" i="20"/>
  <c r="C32" i="20"/>
  <c r="E31" i="20"/>
  <c r="H31" i="20" s="1"/>
  <c r="C31" i="20"/>
  <c r="I30" i="20"/>
  <c r="F30" i="20"/>
  <c r="C13" i="20"/>
  <c r="O10" i="98" s="1"/>
  <c r="C11" i="20"/>
  <c r="K7" i="101" s="1"/>
  <c r="C10" i="20"/>
  <c r="C9" i="20"/>
  <c r="C8" i="20"/>
  <c r="C69" i="20" s="1"/>
  <c r="C7" i="20"/>
  <c r="C4" i="20"/>
  <c r="AB28" i="22" s="1"/>
  <c r="H22" i="11"/>
  <c r="H23" i="11" s="1"/>
  <c r="H24" i="11" s="1"/>
  <c r="H25" i="11" s="1"/>
  <c r="H26" i="11" s="1"/>
  <c r="H27" i="11" s="1"/>
  <c r="H28" i="11" s="1"/>
  <c r="H29" i="11" s="1"/>
  <c r="H30" i="11" s="1"/>
  <c r="H31" i="11" s="1"/>
  <c r="H32" i="11" s="1"/>
  <c r="H33" i="11" s="1"/>
  <c r="H34" i="11" s="1"/>
  <c r="H35" i="11" s="1"/>
  <c r="H36" i="11" s="1"/>
  <c r="H37" i="11" s="1"/>
  <c r="H38" i="11" s="1"/>
  <c r="H39" i="11" s="1"/>
  <c r="H40" i="11" s="1"/>
  <c r="H42" i="2"/>
  <c r="G42" i="2"/>
  <c r="H37" i="2"/>
  <c r="I37" i="2"/>
  <c r="G37" i="2"/>
  <c r="C15" i="20" s="1"/>
  <c r="C16" i="20" s="1"/>
  <c r="F37" i="2"/>
  <c r="E32" i="2"/>
  <c r="G20" i="2"/>
  <c r="F17" i="2"/>
  <c r="I21" i="39" l="1"/>
  <c r="K16" i="103"/>
  <c r="K17" i="103" s="1"/>
  <c r="K16" i="101"/>
  <c r="K17" i="101" s="1"/>
  <c r="I20" i="36"/>
  <c r="J33" i="20"/>
  <c r="F12" i="48"/>
  <c r="G12" i="48" s="1"/>
  <c r="D30" i="22"/>
  <c r="E30" i="22" s="1"/>
  <c r="F30" i="22" s="1"/>
  <c r="G30" i="22" s="1"/>
  <c r="H30" i="22" s="1"/>
  <c r="I30" i="22" s="1"/>
  <c r="J30" i="22" s="1"/>
  <c r="K30" i="22" s="1"/>
  <c r="L30" i="22" s="1"/>
  <c r="M30" i="22" s="1"/>
  <c r="N30" i="22" s="1"/>
  <c r="O30" i="22" s="1"/>
  <c r="H28" i="23"/>
  <c r="G24" i="39" s="1"/>
  <c r="L28" i="23"/>
  <c r="D28" i="23"/>
  <c r="K28" i="23"/>
  <c r="E28" i="23"/>
  <c r="D24" i="39" s="1"/>
  <c r="I28" i="23"/>
  <c r="H24" i="39" s="1"/>
  <c r="M28" i="23"/>
  <c r="G28" i="23"/>
  <c r="F24" i="39" s="1"/>
  <c r="O28" i="23"/>
  <c r="Q28" i="23" s="1"/>
  <c r="F28" i="23"/>
  <c r="E24" i="39" s="1"/>
  <c r="J28" i="23"/>
  <c r="N28" i="23"/>
  <c r="G12" i="47"/>
  <c r="H12" i="47" s="1"/>
  <c r="G28" i="47"/>
  <c r="H28" i="47" s="1"/>
  <c r="G17" i="47"/>
  <c r="H17" i="47" s="1"/>
  <c r="I4" i="47"/>
  <c r="P11" i="98"/>
  <c r="Q11" i="98" s="1"/>
  <c r="C6" i="20"/>
  <c r="C34" i="20"/>
  <c r="C15" i="17"/>
  <c r="C25" i="17" s="1"/>
  <c r="I28" i="2" s="1"/>
  <c r="B11" i="41" s="1"/>
  <c r="B5" i="41" s="1"/>
  <c r="P27" i="98"/>
  <c r="R28" i="22"/>
  <c r="G11" i="98"/>
  <c r="H11" i="98" s="1"/>
  <c r="I11" i="98" s="1"/>
  <c r="X28" i="22"/>
  <c r="D21" i="23"/>
  <c r="C17" i="39" s="1"/>
  <c r="L24" i="23"/>
  <c r="H24" i="23"/>
  <c r="G20" i="39" s="1"/>
  <c r="D24" i="23"/>
  <c r="C20" i="39" s="1"/>
  <c r="O24" i="23"/>
  <c r="K24" i="23"/>
  <c r="G24" i="23"/>
  <c r="F20" i="39" s="1"/>
  <c r="N24" i="23"/>
  <c r="J24" i="23"/>
  <c r="F24" i="23"/>
  <c r="E20" i="39" s="1"/>
  <c r="M24" i="23"/>
  <c r="I24" i="23"/>
  <c r="H20" i="39" s="1"/>
  <c r="D26" i="22"/>
  <c r="E24" i="23"/>
  <c r="D20" i="39" s="1"/>
  <c r="Q27" i="22"/>
  <c r="P10" i="98"/>
  <c r="Q10" i="98" s="1"/>
  <c r="S28" i="22"/>
  <c r="Y28" i="22"/>
  <c r="H4" i="48"/>
  <c r="H6" i="48" s="1"/>
  <c r="C27" i="22"/>
  <c r="D31" i="24" s="1"/>
  <c r="W27" i="22"/>
  <c r="U28" i="22"/>
  <c r="AA28" i="22"/>
  <c r="V28" i="22"/>
  <c r="V25" i="23"/>
  <c r="C25" i="23"/>
  <c r="D32" i="25" s="1"/>
  <c r="Z25" i="23"/>
  <c r="C11" i="17"/>
  <c r="C26" i="17" s="1"/>
  <c r="D10" i="22"/>
  <c r="D29" i="22" s="1"/>
  <c r="C17" i="20"/>
  <c r="E6" i="47"/>
  <c r="I32" i="2"/>
  <c r="W25" i="23"/>
  <c r="D81" i="20"/>
  <c r="C76" i="20" s="1"/>
  <c r="D80" i="20"/>
  <c r="C62" i="20" s="1"/>
  <c r="O14" i="98"/>
  <c r="P14" i="98" s="1"/>
  <c r="Q14" i="98" s="1"/>
  <c r="E31" i="98"/>
  <c r="H31" i="98" s="1"/>
  <c r="I31" i="98" s="1"/>
  <c r="E27" i="47" s="1"/>
  <c r="F27" i="47" s="1"/>
  <c r="G27" i="47" s="1"/>
  <c r="H27" i="47" s="1"/>
  <c r="P23" i="98"/>
  <c r="G33" i="20"/>
  <c r="G28" i="98"/>
  <c r="H28" i="98" s="1"/>
  <c r="I28" i="98" s="1"/>
  <c r="E24" i="47" s="1"/>
  <c r="F24" i="47" s="1"/>
  <c r="G24" i="47" s="1"/>
  <c r="H24" i="47" s="1"/>
  <c r="M26" i="98"/>
  <c r="X32" i="32"/>
  <c r="X25" i="32" s="1"/>
  <c r="C8" i="39"/>
  <c r="J32" i="20"/>
  <c r="I32" i="20" s="1"/>
  <c r="M20" i="23"/>
  <c r="I20" i="23"/>
  <c r="H16" i="39" s="1"/>
  <c r="E20" i="23"/>
  <c r="D16" i="39" s="1"/>
  <c r="L20" i="23"/>
  <c r="H20" i="23"/>
  <c r="G16" i="39" s="1"/>
  <c r="D20" i="23"/>
  <c r="J20" i="23"/>
  <c r="O20" i="23"/>
  <c r="Q20" i="23" s="1"/>
  <c r="G20" i="23"/>
  <c r="F16" i="39" s="1"/>
  <c r="N20" i="23"/>
  <c r="F20" i="23"/>
  <c r="E16" i="39" s="1"/>
  <c r="K20" i="23"/>
  <c r="O23" i="22"/>
  <c r="K23" i="22"/>
  <c r="G23" i="22"/>
  <c r="F16" i="36" s="1"/>
  <c r="M23" i="22"/>
  <c r="H23" i="22"/>
  <c r="G16" i="36" s="1"/>
  <c r="L23" i="22"/>
  <c r="F23" i="22"/>
  <c r="E16" i="36" s="1"/>
  <c r="J23" i="22"/>
  <c r="E23" i="22"/>
  <c r="D16" i="36" s="1"/>
  <c r="I23" i="22"/>
  <c r="H16" i="36" s="1"/>
  <c r="D23" i="22"/>
  <c r="N18" i="74"/>
  <c r="Q18" i="74"/>
  <c r="M18" i="74"/>
  <c r="P18" i="74"/>
  <c r="L18" i="74"/>
  <c r="O18" i="74"/>
  <c r="J31" i="20"/>
  <c r="G32" i="20"/>
  <c r="D26" i="23"/>
  <c r="Q26" i="23" s="1"/>
  <c r="D28" i="22"/>
  <c r="G31" i="20"/>
  <c r="F32" i="20" s="1"/>
  <c r="I9" i="98"/>
  <c r="E9" i="47" s="1"/>
  <c r="F9" i="47" s="1"/>
  <c r="G9" i="47" s="1"/>
  <c r="H9" i="47" s="1"/>
  <c r="C8" i="36"/>
  <c r="D7" i="23"/>
  <c r="D27" i="23" s="1"/>
  <c r="E7" i="23"/>
  <c r="E27" i="23" s="1"/>
  <c r="D23" i="39" s="1"/>
  <c r="F5" i="102" l="1"/>
  <c r="C8" i="102" s="1"/>
  <c r="C9" i="102" s="1"/>
  <c r="M13" i="98"/>
  <c r="F23" i="20"/>
  <c r="G24" i="20" s="1"/>
  <c r="D22" i="23" s="1"/>
  <c r="U26" i="23"/>
  <c r="Q25" i="23"/>
  <c r="AC13" i="22"/>
  <c r="Y24" i="23"/>
  <c r="Q24" i="23"/>
  <c r="Y23" i="23"/>
  <c r="Y25" i="23"/>
  <c r="AA25" i="23"/>
  <c r="R25" i="23"/>
  <c r="AB25" i="23"/>
  <c r="AG25" i="23" s="1"/>
  <c r="J32" i="25" s="1"/>
  <c r="V16" i="22"/>
  <c r="U27" i="22"/>
  <c r="R25" i="22"/>
  <c r="W23" i="23"/>
  <c r="T25" i="22"/>
  <c r="Z25" i="22"/>
  <c r="AA27" i="22"/>
  <c r="U25" i="23"/>
  <c r="S25" i="23"/>
  <c r="S27" i="22"/>
  <c r="AA25" i="22"/>
  <c r="AB25" i="22"/>
  <c r="R23" i="23"/>
  <c r="AB27" i="22"/>
  <c r="AF27" i="22" s="1"/>
  <c r="I31" i="24" s="1"/>
  <c r="X23" i="23"/>
  <c r="Y27" i="22"/>
  <c r="W16" i="22"/>
  <c r="X25" i="23"/>
  <c r="U16" i="22"/>
  <c r="T25" i="23"/>
  <c r="V27" i="22"/>
  <c r="T16" i="22"/>
  <c r="AB26" i="23"/>
  <c r="Y26" i="23"/>
  <c r="X26" i="23"/>
  <c r="Q27" i="98"/>
  <c r="E24" i="48" s="1"/>
  <c r="F24" i="48" s="1"/>
  <c r="G24" i="48" s="1"/>
  <c r="H24" i="48" s="1"/>
  <c r="Q23" i="98"/>
  <c r="E20" i="48" s="1"/>
  <c r="F20" i="48" s="1"/>
  <c r="G20" i="48" s="1"/>
  <c r="H20" i="48" s="1"/>
  <c r="L5" i="102"/>
  <c r="I8" i="102" s="1"/>
  <c r="I9" i="102" s="1"/>
  <c r="Y16" i="22"/>
  <c r="R16" i="22"/>
  <c r="X25" i="22"/>
  <c r="Z27" i="22"/>
  <c r="Y25" i="22"/>
  <c r="AB16" i="22"/>
  <c r="X27" i="22"/>
  <c r="S23" i="23"/>
  <c r="T23" i="23"/>
  <c r="U23" i="23"/>
  <c r="W25" i="22"/>
  <c r="Z23" i="23"/>
  <c r="Z16" i="22"/>
  <c r="R27" i="22"/>
  <c r="S16" i="22"/>
  <c r="V26" i="23"/>
  <c r="V25" i="22"/>
  <c r="V23" i="23"/>
  <c r="AA23" i="23"/>
  <c r="AB23" i="23"/>
  <c r="Q30" i="22"/>
  <c r="R30" i="22" s="1"/>
  <c r="S30" i="22" s="1"/>
  <c r="T30" i="22" s="1"/>
  <c r="U30" i="22" s="1"/>
  <c r="V30" i="22" s="1"/>
  <c r="W30" i="22" s="1"/>
  <c r="X30" i="22" s="1"/>
  <c r="Y30" i="22" s="1"/>
  <c r="Z30" i="22" s="1"/>
  <c r="AA30" i="22" s="1"/>
  <c r="AB30" i="22" s="1"/>
  <c r="R28" i="23"/>
  <c r="S28" i="23" s="1"/>
  <c r="T28" i="23" s="1"/>
  <c r="U28" i="23" s="1"/>
  <c r="V28" i="23" s="1"/>
  <c r="W28" i="23" s="1"/>
  <c r="X28" i="23" s="1"/>
  <c r="Y28" i="23" s="1"/>
  <c r="Z28" i="23" s="1"/>
  <c r="AA28" i="23" s="1"/>
  <c r="AB28" i="23" s="1"/>
  <c r="I20" i="39"/>
  <c r="Q9" i="22"/>
  <c r="R9" i="22" s="1"/>
  <c r="S9" i="22" s="1"/>
  <c r="T9" i="22" s="1"/>
  <c r="U9" i="22" s="1"/>
  <c r="V9" i="22" s="1"/>
  <c r="W9" i="22" s="1"/>
  <c r="X9" i="22" s="1"/>
  <c r="Y9" i="22" s="1"/>
  <c r="Z9" i="22" s="1"/>
  <c r="AA9" i="22" s="1"/>
  <c r="AB9" i="22" s="1"/>
  <c r="Q7" i="22"/>
  <c r="R7" i="22" s="1"/>
  <c r="S7" i="22" s="1"/>
  <c r="T7" i="22" s="1"/>
  <c r="U7" i="22" s="1"/>
  <c r="V7" i="22" s="1"/>
  <c r="W7" i="22" s="1"/>
  <c r="X7" i="22" s="1"/>
  <c r="Y7" i="22" s="1"/>
  <c r="Z7" i="22" s="1"/>
  <c r="AA7" i="22" s="1"/>
  <c r="AB7" i="22" s="1"/>
  <c r="Q6" i="23"/>
  <c r="R6" i="23" s="1"/>
  <c r="S6" i="23" s="1"/>
  <c r="T6" i="23" s="1"/>
  <c r="U6" i="23" s="1"/>
  <c r="V6" i="23" s="1"/>
  <c r="W6" i="23" s="1"/>
  <c r="X6" i="23" s="1"/>
  <c r="Y6" i="23" s="1"/>
  <c r="Z6" i="23" s="1"/>
  <c r="AA6" i="23" s="1"/>
  <c r="AB6" i="23" s="1"/>
  <c r="Q8" i="22"/>
  <c r="R8" i="22" s="1"/>
  <c r="S8" i="22" s="1"/>
  <c r="T8" i="22" s="1"/>
  <c r="U8" i="22" s="1"/>
  <c r="V8" i="22" s="1"/>
  <c r="W8" i="22" s="1"/>
  <c r="X8" i="22" s="1"/>
  <c r="Y8" i="22" s="1"/>
  <c r="Z8" i="22" s="1"/>
  <c r="AA8" i="22" s="1"/>
  <c r="AB8" i="22" s="1"/>
  <c r="Q6" i="22"/>
  <c r="Q15" i="23"/>
  <c r="G23" i="36"/>
  <c r="D23" i="36"/>
  <c r="H23" i="36"/>
  <c r="F23" i="36"/>
  <c r="E23" i="36"/>
  <c r="E11" i="48"/>
  <c r="F11" i="48" s="1"/>
  <c r="G11" i="48" s="1"/>
  <c r="H11" i="48" s="1"/>
  <c r="E8" i="48"/>
  <c r="F8" i="48" s="1"/>
  <c r="G8" i="48" s="1"/>
  <c r="H8" i="48" s="1"/>
  <c r="P26" i="98"/>
  <c r="C19" i="36"/>
  <c r="E26" i="22"/>
  <c r="I27" i="47"/>
  <c r="J27" i="47" s="1"/>
  <c r="J4" i="47"/>
  <c r="I16" i="47"/>
  <c r="J16" i="47" s="1"/>
  <c r="I28" i="47"/>
  <c r="I9" i="47"/>
  <c r="I12" i="47"/>
  <c r="I24" i="47"/>
  <c r="J24" i="47" s="1"/>
  <c r="I17" i="47"/>
  <c r="E14" i="98"/>
  <c r="K18" i="101"/>
  <c r="E10" i="22"/>
  <c r="E29" i="22" s="1"/>
  <c r="D22" i="36" s="1"/>
  <c r="AE25" i="23"/>
  <c r="H32" i="25" s="1"/>
  <c r="AA16" i="22"/>
  <c r="U25" i="22"/>
  <c r="X16" i="22"/>
  <c r="T27" i="22"/>
  <c r="R26" i="23"/>
  <c r="S26" i="23"/>
  <c r="AA26" i="23"/>
  <c r="Q16" i="22"/>
  <c r="S25" i="22"/>
  <c r="D15" i="32"/>
  <c r="E8" i="32" s="1"/>
  <c r="F34" i="20"/>
  <c r="E21" i="23"/>
  <c r="F21" i="23" s="1"/>
  <c r="AB24" i="23"/>
  <c r="AJ24" i="23" s="1"/>
  <c r="M31" i="25" s="1"/>
  <c r="W24" i="23"/>
  <c r="X24" i="23"/>
  <c r="S24" i="23"/>
  <c r="Z24" i="23"/>
  <c r="T24" i="23"/>
  <c r="V24" i="23"/>
  <c r="R24" i="23"/>
  <c r="U24" i="23"/>
  <c r="AA24" i="23"/>
  <c r="AC25" i="23"/>
  <c r="F32" i="25" s="1"/>
  <c r="AJ25" i="23"/>
  <c r="M32" i="25" s="1"/>
  <c r="AH25" i="23"/>
  <c r="K32" i="25" s="1"/>
  <c r="AF25" i="23"/>
  <c r="I32" i="25" s="1"/>
  <c r="AD25" i="23"/>
  <c r="G32" i="25" s="1"/>
  <c r="I4" i="48"/>
  <c r="I6" i="48" s="1"/>
  <c r="H12" i="48"/>
  <c r="C24" i="23"/>
  <c r="D31" i="25" s="1"/>
  <c r="AI25" i="23"/>
  <c r="L32" i="25" s="1"/>
  <c r="J28" i="47"/>
  <c r="J20" i="47"/>
  <c r="J19" i="47"/>
  <c r="J18" i="47"/>
  <c r="J13" i="47"/>
  <c r="K4" i="47"/>
  <c r="J26" i="47"/>
  <c r="J25" i="47"/>
  <c r="B11" i="13"/>
  <c r="B5" i="13" s="1"/>
  <c r="C17" i="98"/>
  <c r="E17" i="98" s="1"/>
  <c r="H17" i="98" s="1"/>
  <c r="I17" i="98" s="1"/>
  <c r="O32" i="32"/>
  <c r="P25" i="32" s="1"/>
  <c r="D32" i="32"/>
  <c r="E25" i="32" s="1"/>
  <c r="M32" i="32"/>
  <c r="N25" i="32" s="1"/>
  <c r="F32" i="32"/>
  <c r="G25" i="32" s="1"/>
  <c r="V32" i="32"/>
  <c r="V25" i="32" s="1"/>
  <c r="T32" i="32"/>
  <c r="T25" i="32" s="1"/>
  <c r="U32" i="32"/>
  <c r="U25" i="32" s="1"/>
  <c r="J32" i="32"/>
  <c r="K25" i="32" s="1"/>
  <c r="Z32" i="32"/>
  <c r="Z25" i="32" s="1"/>
  <c r="S32" i="32"/>
  <c r="S25" i="32" s="1"/>
  <c r="H32" i="32"/>
  <c r="I25" i="32" s="1"/>
  <c r="L32" i="32"/>
  <c r="M25" i="32" s="1"/>
  <c r="E32" i="32"/>
  <c r="F25" i="32" s="1"/>
  <c r="Y32" i="32"/>
  <c r="Y25" i="32" s="1"/>
  <c r="N32" i="32"/>
  <c r="O25" i="32" s="1"/>
  <c r="G32" i="32"/>
  <c r="H25" i="32" s="1"/>
  <c r="W32" i="32"/>
  <c r="W25" i="32" s="1"/>
  <c r="AB32" i="32"/>
  <c r="AB25" i="32" s="1"/>
  <c r="I32" i="32"/>
  <c r="J25" i="32" s="1"/>
  <c r="AC32" i="32"/>
  <c r="Q32" i="32" s="1"/>
  <c r="Q25" i="32" s="1"/>
  <c r="R32" i="32"/>
  <c r="R25" i="32" s="1"/>
  <c r="K32" i="32"/>
  <c r="L25" i="32" s="1"/>
  <c r="AA32" i="32"/>
  <c r="AA25" i="32" s="1"/>
  <c r="E8" i="39"/>
  <c r="AC30" i="32"/>
  <c r="Y30" i="32"/>
  <c r="U30" i="32"/>
  <c r="M30" i="32"/>
  <c r="I30" i="32"/>
  <c r="E30" i="32"/>
  <c r="AB30" i="32"/>
  <c r="X30" i="32"/>
  <c r="T30" i="32"/>
  <c r="L30" i="32"/>
  <c r="H30" i="32"/>
  <c r="D30" i="32"/>
  <c r="E23" i="32" s="1"/>
  <c r="AA30" i="32"/>
  <c r="W30" i="32"/>
  <c r="S30" i="32"/>
  <c r="O30" i="32"/>
  <c r="K30" i="32"/>
  <c r="G30" i="32"/>
  <c r="N30" i="32"/>
  <c r="Z30" i="32"/>
  <c r="J30" i="32"/>
  <c r="V30" i="32"/>
  <c r="F30" i="32"/>
  <c r="R30" i="32"/>
  <c r="C28" i="23"/>
  <c r="D35" i="25" s="1"/>
  <c r="C24" i="39"/>
  <c r="I24" i="39" s="1"/>
  <c r="C16" i="39"/>
  <c r="I16" i="39" s="1"/>
  <c r="C20" i="23"/>
  <c r="D27" i="25" s="1"/>
  <c r="C30" i="22"/>
  <c r="D34" i="24" s="1"/>
  <c r="C23" i="36"/>
  <c r="G26" i="23"/>
  <c r="M26" i="23"/>
  <c r="Z26" i="23" s="1"/>
  <c r="J26" i="23"/>
  <c r="W26" i="23" s="1"/>
  <c r="C22" i="39"/>
  <c r="D8" i="36"/>
  <c r="AB16" i="32"/>
  <c r="AB9" i="32" s="1"/>
  <c r="X16" i="32"/>
  <c r="X9" i="32" s="1"/>
  <c r="T16" i="32"/>
  <c r="T9" i="32" s="1"/>
  <c r="L16" i="32"/>
  <c r="M9" i="32" s="1"/>
  <c r="H16" i="32"/>
  <c r="I9" i="32" s="1"/>
  <c r="D16" i="32"/>
  <c r="E9" i="32" s="1"/>
  <c r="AA16" i="32"/>
  <c r="AA9" i="32" s="1"/>
  <c r="W16" i="32"/>
  <c r="W9" i="32" s="1"/>
  <c r="S16" i="32"/>
  <c r="S9" i="32" s="1"/>
  <c r="O16" i="32"/>
  <c r="K16" i="32"/>
  <c r="L9" i="32" s="1"/>
  <c r="G16" i="32"/>
  <c r="H9" i="32" s="1"/>
  <c r="Z16" i="32"/>
  <c r="Z9" i="32" s="1"/>
  <c r="V16" i="32"/>
  <c r="V9" i="32" s="1"/>
  <c r="R16" i="32"/>
  <c r="R9" i="32" s="1"/>
  <c r="N16" i="32"/>
  <c r="O9" i="32" s="1"/>
  <c r="J16" i="32"/>
  <c r="K9" i="32" s="1"/>
  <c r="F16" i="32"/>
  <c r="G9" i="32" s="1"/>
  <c r="AC16" i="32"/>
  <c r="M16" i="32"/>
  <c r="N9" i="32" s="1"/>
  <c r="Y16" i="32"/>
  <c r="Y9" i="32" s="1"/>
  <c r="I16" i="32"/>
  <c r="J9" i="32" s="1"/>
  <c r="U16" i="32"/>
  <c r="U9" i="32" s="1"/>
  <c r="E16" i="32"/>
  <c r="F9" i="32" s="1"/>
  <c r="AA23" i="22"/>
  <c r="W23" i="22"/>
  <c r="S23" i="22"/>
  <c r="X23" i="22"/>
  <c r="R23" i="22"/>
  <c r="AB23" i="22"/>
  <c r="V23" i="22"/>
  <c r="Q23" i="22"/>
  <c r="Z23" i="22"/>
  <c r="U23" i="22"/>
  <c r="Y23" i="22"/>
  <c r="T23" i="22"/>
  <c r="C16" i="36"/>
  <c r="I16" i="36" s="1"/>
  <c r="C23" i="22"/>
  <c r="D27" i="24" s="1"/>
  <c r="F6" i="47"/>
  <c r="C21" i="36"/>
  <c r="J28" i="22"/>
  <c r="G28" i="22"/>
  <c r="Q28" i="22"/>
  <c r="M28" i="22"/>
  <c r="Z28" i="22" s="1"/>
  <c r="Z20" i="23"/>
  <c r="V20" i="23"/>
  <c r="Y20" i="23"/>
  <c r="U20" i="23"/>
  <c r="AB20" i="23"/>
  <c r="X20" i="23"/>
  <c r="T20" i="23"/>
  <c r="R20" i="23"/>
  <c r="AA20" i="23"/>
  <c r="W20" i="23"/>
  <c r="S20" i="23"/>
  <c r="Z31" i="32"/>
  <c r="Z24" i="32" s="1"/>
  <c r="V31" i="32"/>
  <c r="V24" i="32" s="1"/>
  <c r="R31" i="32"/>
  <c r="R24" i="32" s="1"/>
  <c r="N31" i="32"/>
  <c r="O24" i="32" s="1"/>
  <c r="J31" i="32"/>
  <c r="K24" i="32" s="1"/>
  <c r="F31" i="32"/>
  <c r="G24" i="32" s="1"/>
  <c r="AC31" i="32"/>
  <c r="Y31" i="32"/>
  <c r="Y24" i="32" s="1"/>
  <c r="U31" i="32"/>
  <c r="U24" i="32" s="1"/>
  <c r="M31" i="32"/>
  <c r="N24" i="32" s="1"/>
  <c r="I31" i="32"/>
  <c r="J24" i="32" s="1"/>
  <c r="E31" i="32"/>
  <c r="F24" i="32" s="1"/>
  <c r="AB31" i="32"/>
  <c r="AB24" i="32" s="1"/>
  <c r="X31" i="32"/>
  <c r="X24" i="32" s="1"/>
  <c r="T31" i="32"/>
  <c r="T24" i="32" s="1"/>
  <c r="L31" i="32"/>
  <c r="M24" i="32" s="1"/>
  <c r="H31" i="32"/>
  <c r="I24" i="32" s="1"/>
  <c r="D31" i="32"/>
  <c r="E24" i="32" s="1"/>
  <c r="AA31" i="32"/>
  <c r="AA24" i="32" s="1"/>
  <c r="K31" i="32"/>
  <c r="L24" i="32" s="1"/>
  <c r="W31" i="32"/>
  <c r="W24" i="32" s="1"/>
  <c r="G31" i="32"/>
  <c r="H24" i="32" s="1"/>
  <c r="S31" i="32"/>
  <c r="S24" i="32" s="1"/>
  <c r="O31" i="32"/>
  <c r="I34" i="20"/>
  <c r="D33" i="32" s="1"/>
  <c r="C22" i="36"/>
  <c r="C23" i="39"/>
  <c r="E8" i="98" l="1"/>
  <c r="C31" i="98" s="1"/>
  <c r="G12" i="20"/>
  <c r="H14" i="98"/>
  <c r="F18" i="20"/>
  <c r="G19" i="20" s="1"/>
  <c r="D24" i="22" s="1"/>
  <c r="AF16" i="22"/>
  <c r="I13" i="24" s="1"/>
  <c r="AC16" i="22"/>
  <c r="F13" i="24" s="1"/>
  <c r="P25" i="23"/>
  <c r="E32" i="25" s="1"/>
  <c r="AH27" i="22"/>
  <c r="K31" i="24" s="1"/>
  <c r="AJ27" i="22"/>
  <c r="M31" i="24" s="1"/>
  <c r="AE27" i="22"/>
  <c r="H31" i="24" s="1"/>
  <c r="AC27" i="22"/>
  <c r="F31" i="24" s="1"/>
  <c r="AE16" i="22"/>
  <c r="H13" i="24" s="1"/>
  <c r="AG27" i="22"/>
  <c r="J31" i="24" s="1"/>
  <c r="AI27" i="22"/>
  <c r="L31" i="24" s="1"/>
  <c r="AD27" i="22"/>
  <c r="G31" i="24" s="1"/>
  <c r="AJ16" i="22"/>
  <c r="M13" i="24" s="1"/>
  <c r="P27" i="22"/>
  <c r="E31" i="24" s="1"/>
  <c r="Q26" i="98"/>
  <c r="E23" i="48" s="1"/>
  <c r="F23" i="48" s="1"/>
  <c r="G23" i="48" s="1"/>
  <c r="H23" i="48" s="1"/>
  <c r="I23" i="48" s="1"/>
  <c r="AH16" i="22"/>
  <c r="K13" i="24" s="1"/>
  <c r="I17" i="102"/>
  <c r="I18" i="102" s="1"/>
  <c r="I19" i="102" s="1"/>
  <c r="D11" i="23" s="1"/>
  <c r="AG16" i="22"/>
  <c r="J13" i="24" s="1"/>
  <c r="AI16" i="22"/>
  <c r="L13" i="24" s="1"/>
  <c r="AD16" i="22"/>
  <c r="G13" i="24" s="1"/>
  <c r="I23" i="36"/>
  <c r="R15" i="23"/>
  <c r="S15" i="23" s="1"/>
  <c r="T15" i="23" s="1"/>
  <c r="U15" i="23" s="1"/>
  <c r="V15" i="23" s="1"/>
  <c r="W15" i="23" s="1"/>
  <c r="X15" i="23" s="1"/>
  <c r="Y15" i="23" s="1"/>
  <c r="Z15" i="23" s="1"/>
  <c r="AA15" i="23" s="1"/>
  <c r="AB15" i="23" s="1"/>
  <c r="E12" i="98"/>
  <c r="I11" i="48"/>
  <c r="I24" i="48"/>
  <c r="I8" i="48"/>
  <c r="F26" i="22"/>
  <c r="D19" i="36"/>
  <c r="J17" i="47"/>
  <c r="J9" i="47"/>
  <c r="K9" i="47" s="1"/>
  <c r="J12" i="47"/>
  <c r="K12" i="47" s="1"/>
  <c r="K16" i="47"/>
  <c r="K27" i="47"/>
  <c r="K24" i="47"/>
  <c r="G13" i="20"/>
  <c r="E16" i="98"/>
  <c r="H16" i="98" s="1"/>
  <c r="I16" i="98" s="1"/>
  <c r="E13" i="47" s="1"/>
  <c r="F13" i="47" s="1"/>
  <c r="G13" i="47" s="1"/>
  <c r="H13" i="47" s="1"/>
  <c r="I13" i="47" s="1"/>
  <c r="H8" i="98"/>
  <c r="I8" i="98" s="1"/>
  <c r="E8" i="47" s="1"/>
  <c r="F8" i="47" s="1"/>
  <c r="G8" i="47" s="1"/>
  <c r="H8" i="47" s="1"/>
  <c r="I8" i="47" s="1"/>
  <c r="J8" i="47" s="1"/>
  <c r="K8" i="47" s="1"/>
  <c r="P16" i="22"/>
  <c r="E13" i="24" s="1"/>
  <c r="AE24" i="23"/>
  <c r="H31" i="25" s="1"/>
  <c r="AG24" i="23"/>
  <c r="J31" i="25" s="1"/>
  <c r="D17" i="39"/>
  <c r="AI24" i="23"/>
  <c r="L31" i="25" s="1"/>
  <c r="AC24" i="23"/>
  <c r="F31" i="25" s="1"/>
  <c r="AD24" i="23"/>
  <c r="G31" i="25" s="1"/>
  <c r="AF24" i="23"/>
  <c r="I31" i="25" s="1"/>
  <c r="AH24" i="23"/>
  <c r="K31" i="25" s="1"/>
  <c r="R15" i="32"/>
  <c r="R8" i="32" s="1"/>
  <c r="E15" i="32"/>
  <c r="E17" i="32" s="1"/>
  <c r="P24" i="23"/>
  <c r="E31" i="25" s="1"/>
  <c r="L4" i="47"/>
  <c r="K26" i="47"/>
  <c r="K25" i="47"/>
  <c r="K15" i="47"/>
  <c r="K13" i="47"/>
  <c r="K19" i="47"/>
  <c r="K18" i="47"/>
  <c r="K28" i="47"/>
  <c r="K20" i="47"/>
  <c r="K17" i="47"/>
  <c r="J4" i="48"/>
  <c r="J6" i="48" s="1"/>
  <c r="I12" i="48"/>
  <c r="I20" i="48"/>
  <c r="P32" i="32"/>
  <c r="C25" i="32" s="1"/>
  <c r="AC25" i="32"/>
  <c r="AD25" i="32" s="1"/>
  <c r="AL25" i="32" s="1"/>
  <c r="I25" i="25" s="1"/>
  <c r="AD32" i="32"/>
  <c r="AE32" i="32" s="1"/>
  <c r="P30" i="22"/>
  <c r="E34" i="24" s="1"/>
  <c r="D25" i="32"/>
  <c r="D25" i="25" s="1"/>
  <c r="F8" i="39"/>
  <c r="H12" i="23"/>
  <c r="G21" i="23"/>
  <c r="E17" i="39"/>
  <c r="T28" i="22"/>
  <c r="F21" i="36"/>
  <c r="I21" i="36" s="1"/>
  <c r="W23" i="32"/>
  <c r="W26" i="32" s="1"/>
  <c r="V19" i="23" s="1"/>
  <c r="W33" i="32"/>
  <c r="E33" i="32"/>
  <c r="F23" i="32"/>
  <c r="F26" i="32" s="1"/>
  <c r="E19" i="23" s="1"/>
  <c r="L7" i="32"/>
  <c r="AH20" i="23"/>
  <c r="K27" i="25" s="1"/>
  <c r="AD20" i="23"/>
  <c r="G27" i="25" s="1"/>
  <c r="AG20" i="23"/>
  <c r="J27" i="25" s="1"/>
  <c r="AC20" i="23"/>
  <c r="F27" i="25" s="1"/>
  <c r="AJ20" i="23"/>
  <c r="M27" i="25" s="1"/>
  <c r="AF20" i="23"/>
  <c r="I27" i="25" s="1"/>
  <c r="AE20" i="23"/>
  <c r="H27" i="25" s="1"/>
  <c r="AI20" i="23"/>
  <c r="L27" i="25" s="1"/>
  <c r="W28" i="22"/>
  <c r="AD16" i="32"/>
  <c r="AC9" i="32"/>
  <c r="AD9" i="32" s="1"/>
  <c r="Q16" i="32"/>
  <c r="Q9" i="32" s="1"/>
  <c r="E8" i="36"/>
  <c r="K23" i="32"/>
  <c r="K26" i="32" s="1"/>
  <c r="J19" i="23" s="1"/>
  <c r="J33" i="32"/>
  <c r="K33" i="32"/>
  <c r="L23" i="32"/>
  <c r="L26" i="32" s="1"/>
  <c r="K19" i="23" s="1"/>
  <c r="AA23" i="32"/>
  <c r="AA26" i="32" s="1"/>
  <c r="Z19" i="23" s="1"/>
  <c r="AA33" i="32"/>
  <c r="T33" i="32"/>
  <c r="T23" i="32"/>
  <c r="T26" i="32" s="1"/>
  <c r="S19" i="23" s="1"/>
  <c r="I33" i="32"/>
  <c r="J23" i="32"/>
  <c r="J26" i="32" s="1"/>
  <c r="I19" i="23" s="1"/>
  <c r="AC33" i="32"/>
  <c r="Q30" i="32"/>
  <c r="AC23" i="32"/>
  <c r="AD30" i="32"/>
  <c r="AA7" i="32"/>
  <c r="J7" i="32"/>
  <c r="R7" i="32"/>
  <c r="AI23" i="22"/>
  <c r="L27" i="24" s="1"/>
  <c r="AE23" i="22"/>
  <c r="H27" i="24" s="1"/>
  <c r="AH23" i="22"/>
  <c r="K27" i="24" s="1"/>
  <c r="AC23" i="22"/>
  <c r="F27" i="24" s="1"/>
  <c r="AG23" i="22"/>
  <c r="J27" i="24" s="1"/>
  <c r="AF23" i="22"/>
  <c r="I27" i="24" s="1"/>
  <c r="AD23" i="22"/>
  <c r="G27" i="24" s="1"/>
  <c r="AJ23" i="22"/>
  <c r="M27" i="24" s="1"/>
  <c r="T26" i="23"/>
  <c r="P26" i="23" s="1"/>
  <c r="F22" i="39"/>
  <c r="I22" i="39" s="1"/>
  <c r="G33" i="32"/>
  <c r="H23" i="32"/>
  <c r="H26" i="32" s="1"/>
  <c r="G19" i="23" s="1"/>
  <c r="O7" i="32"/>
  <c r="P20" i="23"/>
  <c r="E27" i="25" s="1"/>
  <c r="C28" i="22"/>
  <c r="D32" i="24" s="1"/>
  <c r="G6" i="47"/>
  <c r="P23" i="22"/>
  <c r="E27" i="24" s="1"/>
  <c r="AI30" i="22"/>
  <c r="L34" i="24" s="1"/>
  <c r="AE30" i="22"/>
  <c r="H34" i="24" s="1"/>
  <c r="AH30" i="22"/>
  <c r="K34" i="24" s="1"/>
  <c r="AC30" i="22"/>
  <c r="F34" i="24" s="1"/>
  <c r="AG30" i="22"/>
  <c r="J34" i="24" s="1"/>
  <c r="AF30" i="22"/>
  <c r="I34" i="24" s="1"/>
  <c r="AD30" i="22"/>
  <c r="G34" i="24" s="1"/>
  <c r="AJ30" i="22"/>
  <c r="M34" i="24" s="1"/>
  <c r="P16" i="32"/>
  <c r="C9" i="32" s="1"/>
  <c r="P9" i="32"/>
  <c r="D9" i="32" s="1"/>
  <c r="D25" i="24" s="1"/>
  <c r="C26" i="23"/>
  <c r="D33" i="25" s="1"/>
  <c r="AG28" i="23"/>
  <c r="J35" i="25" s="1"/>
  <c r="AC28" i="23"/>
  <c r="F35" i="25" s="1"/>
  <c r="AJ28" i="23"/>
  <c r="M35" i="25" s="1"/>
  <c r="AF28" i="23"/>
  <c r="I35" i="25" s="1"/>
  <c r="AI28" i="23"/>
  <c r="L35" i="25" s="1"/>
  <c r="AE28" i="23"/>
  <c r="H35" i="25" s="1"/>
  <c r="AH28" i="23"/>
  <c r="K35" i="25" s="1"/>
  <c r="AD28" i="23"/>
  <c r="G35" i="25" s="1"/>
  <c r="R23" i="32"/>
  <c r="R33" i="32"/>
  <c r="Z23" i="32"/>
  <c r="Z26" i="32" s="1"/>
  <c r="Y19" i="23" s="1"/>
  <c r="Z33" i="32"/>
  <c r="P30" i="32"/>
  <c r="O33" i="32"/>
  <c r="P23" i="32"/>
  <c r="E26" i="32"/>
  <c r="D19" i="23" s="1"/>
  <c r="X33" i="32"/>
  <c r="X23" i="32"/>
  <c r="X26" i="32" s="1"/>
  <c r="W19" i="23" s="1"/>
  <c r="M33" i="32"/>
  <c r="N23" i="32"/>
  <c r="N26" i="32" s="1"/>
  <c r="M19" i="23" s="1"/>
  <c r="H7" i="32"/>
  <c r="D17" i="32"/>
  <c r="E7" i="32"/>
  <c r="X7" i="32"/>
  <c r="N7" i="32"/>
  <c r="G7" i="32"/>
  <c r="AD31" i="32"/>
  <c r="Q31" i="32"/>
  <c r="Q24" i="32" s="1"/>
  <c r="AC24" i="32"/>
  <c r="AD24" i="32" s="1"/>
  <c r="V23" i="32"/>
  <c r="V26" i="32" s="1"/>
  <c r="U19" i="23" s="1"/>
  <c r="V33" i="32"/>
  <c r="L33" i="32"/>
  <c r="M23" i="32"/>
  <c r="M26" i="32" s="1"/>
  <c r="L19" i="23" s="1"/>
  <c r="Y33" i="32"/>
  <c r="Y23" i="32"/>
  <c r="Y26" i="32" s="1"/>
  <c r="X19" i="23" s="1"/>
  <c r="P7" i="32"/>
  <c r="P14" i="32"/>
  <c r="M7" i="32"/>
  <c r="F7" i="32"/>
  <c r="P31" i="32"/>
  <c r="C24" i="32" s="1"/>
  <c r="P24" i="32"/>
  <c r="D24" i="32" s="1"/>
  <c r="D24" i="25" s="1"/>
  <c r="P28" i="23"/>
  <c r="E35" i="25" s="1"/>
  <c r="G23" i="32"/>
  <c r="G26" i="32" s="1"/>
  <c r="F19" i="23" s="1"/>
  <c r="F33" i="32"/>
  <c r="O23" i="32"/>
  <c r="O26" i="32" s="1"/>
  <c r="N19" i="23" s="1"/>
  <c r="N33" i="32"/>
  <c r="S23" i="32"/>
  <c r="S26" i="32" s="1"/>
  <c r="R19" i="23" s="1"/>
  <c r="S33" i="32"/>
  <c r="H33" i="32"/>
  <c r="I23" i="32"/>
  <c r="I26" i="32" s="1"/>
  <c r="H19" i="23" s="1"/>
  <c r="AB33" i="32"/>
  <c r="AB23" i="32"/>
  <c r="AB26" i="32" s="1"/>
  <c r="AA19" i="23" s="1"/>
  <c r="U33" i="32"/>
  <c r="U23" i="32"/>
  <c r="U26" i="32" s="1"/>
  <c r="T19" i="23" s="1"/>
  <c r="I7" i="32"/>
  <c r="U7" i="32"/>
  <c r="K7" i="32"/>
  <c r="E11" i="23" l="1"/>
  <c r="P15" i="23"/>
  <c r="E15" i="25" s="1"/>
  <c r="AG15" i="23"/>
  <c r="J15" i="25" s="1"/>
  <c r="AI15" i="23"/>
  <c r="L15" i="25" s="1"/>
  <c r="AD15" i="23"/>
  <c r="G15" i="25" s="1"/>
  <c r="AC15" i="23"/>
  <c r="F15" i="25" s="1"/>
  <c r="AH15" i="23"/>
  <c r="K15" i="25" s="1"/>
  <c r="AE15" i="23"/>
  <c r="H15" i="25" s="1"/>
  <c r="AJ15" i="23"/>
  <c r="M15" i="25" s="1"/>
  <c r="AF15" i="23"/>
  <c r="I15" i="25" s="1"/>
  <c r="J8" i="48"/>
  <c r="J20" i="48"/>
  <c r="D17" i="22"/>
  <c r="E17" i="22" s="1"/>
  <c r="F17" i="22" s="1"/>
  <c r="D14" i="23"/>
  <c r="D18" i="22"/>
  <c r="D13" i="23"/>
  <c r="G26" i="22"/>
  <c r="E19" i="36"/>
  <c r="L27" i="47"/>
  <c r="Q14" i="32"/>
  <c r="T14" i="32" s="1"/>
  <c r="S14" i="32"/>
  <c r="R17" i="32"/>
  <c r="S15" i="32"/>
  <c r="F15" i="32"/>
  <c r="F8" i="32"/>
  <c r="F10" i="32" s="1"/>
  <c r="E22" i="22" s="1"/>
  <c r="D15" i="36" s="1"/>
  <c r="L26" i="47"/>
  <c r="L25" i="47"/>
  <c r="L21" i="47"/>
  <c r="L24" i="47"/>
  <c r="L16" i="47"/>
  <c r="L15" i="47"/>
  <c r="L28" i="47"/>
  <c r="L20" i="47"/>
  <c r="L19" i="47"/>
  <c r="L18" i="47"/>
  <c r="L17" i="47"/>
  <c r="L13" i="47"/>
  <c r="M4" i="47"/>
  <c r="J22" i="48"/>
  <c r="J21" i="48"/>
  <c r="J12" i="48"/>
  <c r="J24" i="48"/>
  <c r="J14" i="48"/>
  <c r="K4" i="48"/>
  <c r="K6" i="48" s="1"/>
  <c r="L8" i="47"/>
  <c r="L9" i="47"/>
  <c r="L12" i="47"/>
  <c r="J23" i="48"/>
  <c r="J11" i="48"/>
  <c r="AF25" i="32"/>
  <c r="F25" i="25" s="1"/>
  <c r="G8" i="39"/>
  <c r="I12" i="23"/>
  <c r="AT25" i="32"/>
  <c r="M25" i="25" s="1"/>
  <c r="AR25" i="32"/>
  <c r="L25" i="25" s="1"/>
  <c r="AP25" i="32"/>
  <c r="K25" i="25" s="1"/>
  <c r="AJ25" i="32"/>
  <c r="H25" i="25" s="1"/>
  <c r="AH25" i="32"/>
  <c r="G25" i="25" s="1"/>
  <c r="E25" i="25"/>
  <c r="AN25" i="32"/>
  <c r="J25" i="25" s="1"/>
  <c r="AE25" i="32"/>
  <c r="P28" i="22"/>
  <c r="AH28" i="22" s="1"/>
  <c r="K32" i="24" s="1"/>
  <c r="P26" i="32"/>
  <c r="O19" i="23" s="1"/>
  <c r="C19" i="23" s="1"/>
  <c r="AC26" i="32"/>
  <c r="AB19" i="23" s="1"/>
  <c r="AC19" i="23" s="1"/>
  <c r="H21" i="23"/>
  <c r="F17" i="39"/>
  <c r="E24" i="25"/>
  <c r="AT24" i="32"/>
  <c r="M24" i="25" s="1"/>
  <c r="AP24" i="32"/>
  <c r="K24" i="25" s="1"/>
  <c r="AL24" i="32"/>
  <c r="I24" i="25" s="1"/>
  <c r="AH24" i="32"/>
  <c r="G24" i="25" s="1"/>
  <c r="AR24" i="32"/>
  <c r="L24" i="25" s="1"/>
  <c r="AN24" i="32"/>
  <c r="J24" i="25" s="1"/>
  <c r="AJ24" i="32"/>
  <c r="H24" i="25" s="1"/>
  <c r="AF24" i="32"/>
  <c r="F24" i="25" s="1"/>
  <c r="E33" i="25"/>
  <c r="AG26" i="23"/>
  <c r="J33" i="25" s="1"/>
  <c r="AC26" i="23"/>
  <c r="F33" i="25" s="1"/>
  <c r="AJ26" i="23"/>
  <c r="M33" i="25" s="1"/>
  <c r="AF26" i="23"/>
  <c r="I33" i="25" s="1"/>
  <c r="AI26" i="23"/>
  <c r="L33" i="25" s="1"/>
  <c r="AE26" i="23"/>
  <c r="H33" i="25" s="1"/>
  <c r="AD26" i="23"/>
  <c r="G33" i="25" s="1"/>
  <c r="AH26" i="23"/>
  <c r="K33" i="25" s="1"/>
  <c r="H6" i="47"/>
  <c r="F15" i="39"/>
  <c r="E15" i="39"/>
  <c r="R10" i="32"/>
  <c r="Q22" i="22" s="1"/>
  <c r="Q33" i="32"/>
  <c r="Q23" i="32"/>
  <c r="Q26" i="32" s="1"/>
  <c r="G15" i="39"/>
  <c r="P7" i="98"/>
  <c r="D23" i="32"/>
  <c r="C23" i="32"/>
  <c r="P33" i="32"/>
  <c r="C26" i="32" s="1"/>
  <c r="R26" i="32"/>
  <c r="Q19" i="23" s="1"/>
  <c r="AD23" i="32"/>
  <c r="F8" i="36"/>
  <c r="H15" i="22"/>
  <c r="AE16" i="32"/>
  <c r="AE9" i="32"/>
  <c r="D15" i="39"/>
  <c r="AG25" i="32"/>
  <c r="AF32" i="32"/>
  <c r="C7" i="32"/>
  <c r="AE24" i="32"/>
  <c r="AE31" i="32"/>
  <c r="D7" i="32"/>
  <c r="E10" i="32"/>
  <c r="D22" i="22" s="1"/>
  <c r="C15" i="39"/>
  <c r="AE23" i="32"/>
  <c r="AE30" i="32"/>
  <c r="AD33" i="32"/>
  <c r="H15" i="39"/>
  <c r="E25" i="24"/>
  <c r="AR9" i="32"/>
  <c r="L25" i="24" s="1"/>
  <c r="AN9" i="32"/>
  <c r="J25" i="24" s="1"/>
  <c r="AJ9" i="32"/>
  <c r="H25" i="24" s="1"/>
  <c r="AF9" i="32"/>
  <c r="F25" i="24" s="1"/>
  <c r="AT9" i="32"/>
  <c r="M25" i="24" s="1"/>
  <c r="AP9" i="32"/>
  <c r="K25" i="24" s="1"/>
  <c r="AL9" i="32"/>
  <c r="I25" i="24" s="1"/>
  <c r="AH9" i="32"/>
  <c r="G25" i="24" s="1"/>
  <c r="D16" i="23" l="1"/>
  <c r="F11" i="23"/>
  <c r="Q7" i="98"/>
  <c r="Q5" i="98" s="1"/>
  <c r="I15" i="39"/>
  <c r="K20" i="48"/>
  <c r="Q7" i="32"/>
  <c r="D10" i="36"/>
  <c r="C10" i="36"/>
  <c r="E13" i="23"/>
  <c r="C9" i="39"/>
  <c r="E18" i="22"/>
  <c r="C11" i="36"/>
  <c r="E14" i="23"/>
  <c r="C10" i="39"/>
  <c r="H26" i="22"/>
  <c r="F19" i="36"/>
  <c r="G17" i="22"/>
  <c r="E10" i="36"/>
  <c r="V14" i="32"/>
  <c r="S7" i="32"/>
  <c r="W14" i="32"/>
  <c r="T7" i="32"/>
  <c r="E32" i="24"/>
  <c r="G15" i="32"/>
  <c r="T15" i="32"/>
  <c r="G8" i="32"/>
  <c r="G10" i="32" s="1"/>
  <c r="F22" i="22" s="1"/>
  <c r="E15" i="36" s="1"/>
  <c r="F17" i="32"/>
  <c r="S8" i="32"/>
  <c r="S17" i="32"/>
  <c r="AG28" i="22"/>
  <c r="J32" i="24" s="1"/>
  <c r="AI28" i="22"/>
  <c r="L32" i="24" s="1"/>
  <c r="AJ28" i="22"/>
  <c r="M32" i="24" s="1"/>
  <c r="AF28" i="22"/>
  <c r="I32" i="24" s="1"/>
  <c r="K12" i="48"/>
  <c r="K24" i="48"/>
  <c r="K14" i="48"/>
  <c r="L4" i="48"/>
  <c r="L6" i="48" s="1"/>
  <c r="K22" i="48"/>
  <c r="K21" i="48"/>
  <c r="M24" i="47"/>
  <c r="M16" i="47"/>
  <c r="M15" i="47"/>
  <c r="M12" i="47"/>
  <c r="M28" i="47"/>
  <c r="M20" i="47"/>
  <c r="M19" i="47"/>
  <c r="M18" i="47"/>
  <c r="M17" i="47"/>
  <c r="M13" i="47"/>
  <c r="M23" i="47"/>
  <c r="N4" i="47"/>
  <c r="M26" i="47"/>
  <c r="M21" i="47"/>
  <c r="M25" i="47"/>
  <c r="K11" i="48"/>
  <c r="M9" i="47"/>
  <c r="K23" i="48"/>
  <c r="M8" i="47"/>
  <c r="K8" i="48"/>
  <c r="L8" i="48" s="1"/>
  <c r="M27" i="47"/>
  <c r="N27" i="47" s="1"/>
  <c r="AG19" i="23"/>
  <c r="G8" i="36"/>
  <c r="I15" i="22"/>
  <c r="J12" i="23"/>
  <c r="H8" i="39"/>
  <c r="I8" i="39" s="1"/>
  <c r="E22" i="23"/>
  <c r="AC28" i="22"/>
  <c r="F32" i="24" s="1"/>
  <c r="AD28" i="22"/>
  <c r="G32" i="24" s="1"/>
  <c r="AE28" i="22"/>
  <c r="H32" i="24" s="1"/>
  <c r="AH19" i="23"/>
  <c r="AD19" i="23"/>
  <c r="AJ19" i="23"/>
  <c r="AE19" i="23"/>
  <c r="AF19" i="23"/>
  <c r="AE26" i="32"/>
  <c r="AI19" i="23"/>
  <c r="I21" i="23"/>
  <c r="G17" i="39"/>
  <c r="D23" i="24"/>
  <c r="AF30" i="32"/>
  <c r="AE33" i="32"/>
  <c r="AG23" i="32"/>
  <c r="AF31" i="32"/>
  <c r="AG24" i="32"/>
  <c r="AI25" i="32"/>
  <c r="AG32" i="32"/>
  <c r="AF16" i="32"/>
  <c r="AG9" i="32"/>
  <c r="E23" i="25"/>
  <c r="E22" i="25" s="1"/>
  <c r="AD26" i="32"/>
  <c r="AT23" i="32"/>
  <c r="AP23" i="32"/>
  <c r="AL23" i="32"/>
  <c r="AH23" i="32"/>
  <c r="AN23" i="32"/>
  <c r="AJ23" i="32"/>
  <c r="AF23" i="32"/>
  <c r="AR23" i="32"/>
  <c r="D23" i="25"/>
  <c r="D22" i="25" s="1"/>
  <c r="D26" i="32"/>
  <c r="C29" i="98"/>
  <c r="M25" i="98"/>
  <c r="P25" i="98" s="1"/>
  <c r="M22" i="98"/>
  <c r="P22" i="98" s="1"/>
  <c r="Q22" i="98" s="1"/>
  <c r="D39" i="32"/>
  <c r="C15" i="36"/>
  <c r="P19" i="23"/>
  <c r="I6" i="47"/>
  <c r="E16" i="23" l="1"/>
  <c r="E7" i="48"/>
  <c r="G11" i="23"/>
  <c r="Q25" i="98"/>
  <c r="E22" i="48" s="1"/>
  <c r="F22" i="48" s="1"/>
  <c r="G22" i="48" s="1"/>
  <c r="H22" i="48" s="1"/>
  <c r="I22" i="48" s="1"/>
  <c r="I10" i="36"/>
  <c r="F7" i="48"/>
  <c r="G7" i="48" s="1"/>
  <c r="L23" i="48"/>
  <c r="L11" i="48"/>
  <c r="F18" i="22"/>
  <c r="D11" i="36"/>
  <c r="F14" i="23"/>
  <c r="D10" i="39"/>
  <c r="F13" i="23"/>
  <c r="D9" i="39"/>
  <c r="I26" i="22"/>
  <c r="G19" i="36"/>
  <c r="N8" i="47"/>
  <c r="N9" i="47"/>
  <c r="H17" i="22"/>
  <c r="F10" i="36"/>
  <c r="Y14" i="32"/>
  <c r="V7" i="32"/>
  <c r="S10" i="32"/>
  <c r="R22" i="22" s="1"/>
  <c r="Z14" i="32"/>
  <c r="W7" i="32"/>
  <c r="T8" i="32"/>
  <c r="T10" i="32" s="1"/>
  <c r="S22" i="22" s="1"/>
  <c r="T17" i="32"/>
  <c r="H15" i="32"/>
  <c r="U15" i="32"/>
  <c r="H8" i="32"/>
  <c r="H10" i="32" s="1"/>
  <c r="G22" i="22" s="1"/>
  <c r="F15" i="36" s="1"/>
  <c r="G17" i="32"/>
  <c r="N28" i="47"/>
  <c r="N20" i="47"/>
  <c r="N19" i="47"/>
  <c r="N18" i="47"/>
  <c r="N17" i="47"/>
  <c r="N13" i="47"/>
  <c r="N23" i="47"/>
  <c r="O4" i="47"/>
  <c r="O27" i="47" s="1"/>
  <c r="N26" i="47"/>
  <c r="N25" i="47"/>
  <c r="N21" i="47"/>
  <c r="N12" i="47"/>
  <c r="N15" i="47"/>
  <c r="N24" i="47"/>
  <c r="N16" i="47"/>
  <c r="L24" i="48"/>
  <c r="L14" i="48"/>
  <c r="M4" i="48"/>
  <c r="M16" i="48" s="1"/>
  <c r="L22" i="48"/>
  <c r="L21" i="48"/>
  <c r="L17" i="48"/>
  <c r="L20" i="48"/>
  <c r="L12" i="48"/>
  <c r="K12" i="23"/>
  <c r="L12" i="23" s="1"/>
  <c r="M12" i="23" s="1"/>
  <c r="N12" i="23" s="1"/>
  <c r="O12" i="23" s="1"/>
  <c r="Q12" i="23" s="1"/>
  <c r="P9" i="22"/>
  <c r="AC9" i="22" s="1"/>
  <c r="J15" i="22"/>
  <c r="H8" i="36"/>
  <c r="I8" i="36" s="1"/>
  <c r="E14" i="48"/>
  <c r="C18" i="39"/>
  <c r="J21" i="23"/>
  <c r="K21" i="23" s="1"/>
  <c r="L21" i="23" s="1"/>
  <c r="M21" i="23" s="1"/>
  <c r="N21" i="23" s="1"/>
  <c r="O21" i="23" s="1"/>
  <c r="Q21" i="23" s="1"/>
  <c r="H17" i="39"/>
  <c r="I17" i="39" s="1"/>
  <c r="H29" i="98"/>
  <c r="I29" i="98" s="1"/>
  <c r="E25" i="47" s="1"/>
  <c r="F25" i="47" s="1"/>
  <c r="G25" i="47" s="1"/>
  <c r="H25" i="47" s="1"/>
  <c r="I25" i="47" s="1"/>
  <c r="L24" i="98"/>
  <c r="P24" i="98" s="1"/>
  <c r="J23" i="25"/>
  <c r="J22" i="25" s="1"/>
  <c r="AN26" i="32"/>
  <c r="M23" i="25"/>
  <c r="M22" i="25" s="1"/>
  <c r="AT26" i="32"/>
  <c r="AI9" i="32"/>
  <c r="AG16" i="32"/>
  <c r="AH32" i="32"/>
  <c r="AK25" i="32"/>
  <c r="AG26" i="32"/>
  <c r="H23" i="25"/>
  <c r="H22" i="25" s="1"/>
  <c r="AJ26" i="32"/>
  <c r="J6" i="47"/>
  <c r="D23" i="23"/>
  <c r="Q23" i="23" s="1"/>
  <c r="L23" i="25"/>
  <c r="L22" i="25" s="1"/>
  <c r="AR26" i="32"/>
  <c r="G23" i="25"/>
  <c r="G22" i="25" s="1"/>
  <c r="AH26" i="32"/>
  <c r="AI24" i="32"/>
  <c r="AG31" i="32"/>
  <c r="H7" i="98"/>
  <c r="I7" i="98" s="1"/>
  <c r="I5" i="98" s="1"/>
  <c r="H12" i="98"/>
  <c r="I12" i="98" s="1"/>
  <c r="I10" i="98" s="1"/>
  <c r="K23" i="25"/>
  <c r="K22" i="25" s="1"/>
  <c r="AP26" i="32"/>
  <c r="E19" i="48"/>
  <c r="F19" i="48" s="1"/>
  <c r="G19" i="48" s="1"/>
  <c r="H19" i="48" s="1"/>
  <c r="I19" i="48" s="1"/>
  <c r="J19" i="48" s="1"/>
  <c r="K19" i="48" s="1"/>
  <c r="L19" i="48" s="1"/>
  <c r="F23" i="25"/>
  <c r="F22" i="25" s="1"/>
  <c r="AF26" i="32"/>
  <c r="I23" i="25"/>
  <c r="I22" i="25" s="1"/>
  <c r="AL26" i="32"/>
  <c r="V6" i="22"/>
  <c r="AB6" i="22" s="1"/>
  <c r="F22" i="23"/>
  <c r="D18" i="39"/>
  <c r="AG30" i="32"/>
  <c r="AI23" i="32"/>
  <c r="AF33" i="32"/>
  <c r="F16" i="23" l="1"/>
  <c r="R21" i="23"/>
  <c r="S21" i="23" s="1"/>
  <c r="T21" i="23" s="1"/>
  <c r="U21" i="23" s="1"/>
  <c r="V21" i="23" s="1"/>
  <c r="W21" i="23" s="1"/>
  <c r="X21" i="23" s="1"/>
  <c r="Y21" i="23" s="1"/>
  <c r="Z21" i="23" s="1"/>
  <c r="AA21" i="23" s="1"/>
  <c r="AB21" i="23" s="1"/>
  <c r="H11" i="23"/>
  <c r="Q24" i="98"/>
  <c r="E21" i="48" s="1"/>
  <c r="F21" i="48" s="1"/>
  <c r="G21" i="48" s="1"/>
  <c r="H21" i="48" s="1"/>
  <c r="I21" i="48" s="1"/>
  <c r="M6" i="48"/>
  <c r="G13" i="23"/>
  <c r="E9" i="39"/>
  <c r="G18" i="22"/>
  <c r="E11" i="36"/>
  <c r="G14" i="23"/>
  <c r="E10" i="39"/>
  <c r="J26" i="22"/>
  <c r="H19" i="36"/>
  <c r="I19" i="36" s="1"/>
  <c r="I17" i="22"/>
  <c r="G10" i="36"/>
  <c r="AB14" i="32"/>
  <c r="AB7" i="32" s="1"/>
  <c r="Y7" i="32"/>
  <c r="AC14" i="32"/>
  <c r="Z7" i="32"/>
  <c r="I15" i="32"/>
  <c r="V15" i="32"/>
  <c r="I8" i="32"/>
  <c r="I10" i="32" s="1"/>
  <c r="H22" i="22" s="1"/>
  <c r="G15" i="36" s="1"/>
  <c r="H17" i="32"/>
  <c r="U8" i="32"/>
  <c r="U10" i="32" s="1"/>
  <c r="T22" i="22" s="1"/>
  <c r="U17" i="32"/>
  <c r="M24" i="48"/>
  <c r="M19" i="48"/>
  <c r="N4" i="48"/>
  <c r="N16" i="48" s="1"/>
  <c r="M22" i="48"/>
  <c r="M21" i="48"/>
  <c r="M17" i="48"/>
  <c r="M20" i="48"/>
  <c r="M12" i="48"/>
  <c r="M11" i="48"/>
  <c r="M14" i="48"/>
  <c r="M8" i="48"/>
  <c r="O23" i="47"/>
  <c r="O26" i="47"/>
  <c r="O25" i="47"/>
  <c r="O21" i="47"/>
  <c r="O24" i="47"/>
  <c r="O16" i="47"/>
  <c r="O15" i="47"/>
  <c r="O12" i="47"/>
  <c r="O13" i="47"/>
  <c r="O28" i="47"/>
  <c r="O20" i="47"/>
  <c r="O19" i="47"/>
  <c r="O18" i="47"/>
  <c r="O17" i="47"/>
  <c r="O9" i="47"/>
  <c r="M23" i="48"/>
  <c r="N23" i="48" s="1"/>
  <c r="O8" i="47"/>
  <c r="C21" i="23"/>
  <c r="D28" i="25" s="1"/>
  <c r="K15" i="22"/>
  <c r="L15" i="22" s="1"/>
  <c r="M15" i="22" s="1"/>
  <c r="N15" i="22" s="1"/>
  <c r="O15" i="22" s="1"/>
  <c r="Q15" i="22" s="1"/>
  <c r="AH9" i="22"/>
  <c r="AD9" i="22"/>
  <c r="AF9" i="22"/>
  <c r="AG9" i="22"/>
  <c r="AJ9" i="22"/>
  <c r="AE9" i="22"/>
  <c r="AI9" i="22"/>
  <c r="C9" i="22"/>
  <c r="C12" i="23"/>
  <c r="D12" i="25" s="1"/>
  <c r="R12" i="23"/>
  <c r="S12" i="23" s="1"/>
  <c r="T12" i="23" s="1"/>
  <c r="U12" i="23" s="1"/>
  <c r="V12" i="23" s="1"/>
  <c r="W12" i="23" s="1"/>
  <c r="X12" i="23" s="1"/>
  <c r="Y12" i="23" s="1"/>
  <c r="Z12" i="23" s="1"/>
  <c r="AA12" i="23" s="1"/>
  <c r="AB12" i="23" s="1"/>
  <c r="AI26" i="32"/>
  <c r="AK26" i="32" s="1"/>
  <c r="AG33" i="32"/>
  <c r="AK23" i="32"/>
  <c r="AH30" i="32"/>
  <c r="E18" i="39"/>
  <c r="G22" i="23"/>
  <c r="U6" i="22"/>
  <c r="AA6" i="22" s="1"/>
  <c r="S6" i="22"/>
  <c r="Y6" i="22" s="1"/>
  <c r="E7" i="47"/>
  <c r="C23" i="23"/>
  <c r="D30" i="25" s="1"/>
  <c r="C19" i="39"/>
  <c r="I19" i="39" s="1"/>
  <c r="AH16" i="32"/>
  <c r="AK9" i="32"/>
  <c r="H7" i="48"/>
  <c r="AH31" i="32"/>
  <c r="AK24" i="32"/>
  <c r="AI32" i="32"/>
  <c r="AM25" i="32"/>
  <c r="E24" i="22"/>
  <c r="C17" i="36"/>
  <c r="K6" i="47"/>
  <c r="G16" i="23" l="1"/>
  <c r="P21" i="23"/>
  <c r="E28" i="25" s="1"/>
  <c r="AD21" i="23"/>
  <c r="G28" i="25" s="1"/>
  <c r="AJ21" i="23"/>
  <c r="M28" i="25" s="1"/>
  <c r="AF21" i="23"/>
  <c r="I28" i="25" s="1"/>
  <c r="AG21" i="23"/>
  <c r="J28" i="25" s="1"/>
  <c r="AI21" i="23"/>
  <c r="L28" i="25" s="1"/>
  <c r="AC21" i="23"/>
  <c r="F28" i="25" s="1"/>
  <c r="AE21" i="23"/>
  <c r="H28" i="25" s="1"/>
  <c r="AH21" i="23"/>
  <c r="K28" i="25" s="1"/>
  <c r="I11" i="23"/>
  <c r="Q21" i="98"/>
  <c r="N6" i="48"/>
  <c r="N8" i="48"/>
  <c r="H14" i="23"/>
  <c r="F10" i="39"/>
  <c r="H13" i="23"/>
  <c r="F9" i="39"/>
  <c r="H18" i="22"/>
  <c r="F11" i="36"/>
  <c r="K26" i="22"/>
  <c r="L26" i="22" s="1"/>
  <c r="M26" i="22" s="1"/>
  <c r="N26" i="22" s="1"/>
  <c r="O26" i="22" s="1"/>
  <c r="J17" i="22"/>
  <c r="H10" i="36"/>
  <c r="AC7" i="32"/>
  <c r="AD7" i="32" s="1"/>
  <c r="AD14" i="32"/>
  <c r="V8" i="32"/>
  <c r="V10" i="32" s="1"/>
  <c r="U22" i="22" s="1"/>
  <c r="V17" i="32"/>
  <c r="J15" i="32"/>
  <c r="W15" i="32"/>
  <c r="J8" i="32"/>
  <c r="J10" i="32" s="1"/>
  <c r="I22" i="22" s="1"/>
  <c r="H15" i="36" s="1"/>
  <c r="I15" i="36" s="1"/>
  <c r="I17" i="32"/>
  <c r="N22" i="48"/>
  <c r="N21" i="48"/>
  <c r="N17" i="48"/>
  <c r="N20" i="48"/>
  <c r="N12" i="48"/>
  <c r="N11" i="48"/>
  <c r="N24" i="48"/>
  <c r="N14" i="48"/>
  <c r="O4" i="48"/>
  <c r="O16" i="48" s="1"/>
  <c r="N19" i="48"/>
  <c r="AH12" i="23"/>
  <c r="K12" i="25" s="1"/>
  <c r="AF12" i="23"/>
  <c r="I12" i="25" s="1"/>
  <c r="AD12" i="23"/>
  <c r="G12" i="25" s="1"/>
  <c r="AC12" i="23"/>
  <c r="F12" i="25" s="1"/>
  <c r="AE12" i="23"/>
  <c r="H12" i="25" s="1"/>
  <c r="AG12" i="23"/>
  <c r="J12" i="25" s="1"/>
  <c r="AI12" i="23"/>
  <c r="L12" i="25" s="1"/>
  <c r="AJ12" i="23"/>
  <c r="M12" i="25" s="1"/>
  <c r="C15" i="22"/>
  <c r="D12" i="24" s="1"/>
  <c r="P12" i="23"/>
  <c r="E12" i="25" s="1"/>
  <c r="R15" i="22"/>
  <c r="S15" i="22" s="1"/>
  <c r="T15" i="22" s="1"/>
  <c r="U15" i="22" s="1"/>
  <c r="V15" i="22" s="1"/>
  <c r="W15" i="22" s="1"/>
  <c r="X15" i="22" s="1"/>
  <c r="Y15" i="22" s="1"/>
  <c r="Z15" i="22" s="1"/>
  <c r="AA15" i="22" s="1"/>
  <c r="AB15" i="22" s="1"/>
  <c r="W6" i="22"/>
  <c r="AI16" i="32"/>
  <c r="AM9" i="32"/>
  <c r="AI23" i="23"/>
  <c r="L30" i="25" s="1"/>
  <c r="AE23" i="23"/>
  <c r="H30" i="25" s="1"/>
  <c r="AH23" i="23"/>
  <c r="K30" i="25" s="1"/>
  <c r="AD23" i="23"/>
  <c r="G30" i="25" s="1"/>
  <c r="AG23" i="23"/>
  <c r="J30" i="25" s="1"/>
  <c r="AC23" i="23"/>
  <c r="F30" i="25" s="1"/>
  <c r="AJ23" i="23"/>
  <c r="M30" i="25" s="1"/>
  <c r="AF23" i="23"/>
  <c r="I30" i="25" s="1"/>
  <c r="P23" i="23"/>
  <c r="E30" i="25" s="1"/>
  <c r="F7" i="47"/>
  <c r="H22" i="23"/>
  <c r="F18" i="39"/>
  <c r="L6" i="47"/>
  <c r="D17" i="36"/>
  <c r="F24" i="22"/>
  <c r="AO25" i="32"/>
  <c r="AJ32" i="32"/>
  <c r="AM24" i="32"/>
  <c r="AI31" i="32"/>
  <c r="I7" i="48"/>
  <c r="AM23" i="32"/>
  <c r="AI30" i="32"/>
  <c r="AH33" i="32"/>
  <c r="H16" i="23" l="1"/>
  <c r="AG15" i="22"/>
  <c r="J12" i="24" s="1"/>
  <c r="AC15" i="22"/>
  <c r="F12" i="24" s="1"/>
  <c r="AJ15" i="22"/>
  <c r="M12" i="24" s="1"/>
  <c r="AD15" i="22"/>
  <c r="G12" i="24" s="1"/>
  <c r="AH15" i="22"/>
  <c r="K12" i="24" s="1"/>
  <c r="AF15" i="22"/>
  <c r="AE15" i="22"/>
  <c r="H12" i="24" s="1"/>
  <c r="AI15" i="22"/>
  <c r="L12" i="24" s="1"/>
  <c r="J11" i="23"/>
  <c r="O6" i="48"/>
  <c r="C26" i="22"/>
  <c r="D30" i="24" s="1"/>
  <c r="I13" i="23"/>
  <c r="G9" i="39"/>
  <c r="I18" i="22"/>
  <c r="G11" i="36"/>
  <c r="I11" i="36" s="1"/>
  <c r="I14" i="23"/>
  <c r="G10" i="39"/>
  <c r="X26" i="22"/>
  <c r="AA26" i="22"/>
  <c r="U26" i="22"/>
  <c r="Z26" i="22"/>
  <c r="T26" i="22"/>
  <c r="W26" i="22"/>
  <c r="Y26" i="22"/>
  <c r="R26" i="22"/>
  <c r="V26" i="22"/>
  <c r="S26" i="22"/>
  <c r="AB26" i="22"/>
  <c r="Q26" i="22"/>
  <c r="K17" i="22"/>
  <c r="L17" i="22" s="1"/>
  <c r="M17" i="22" s="1"/>
  <c r="N17" i="22" s="1"/>
  <c r="O17" i="22" s="1"/>
  <c r="E23" i="24"/>
  <c r="AF7" i="32"/>
  <c r="F23" i="24" s="1"/>
  <c r="AH7" i="32"/>
  <c r="G23" i="24" s="1"/>
  <c r="AR7" i="32"/>
  <c r="L23" i="24" s="1"/>
  <c r="AT7" i="32"/>
  <c r="M23" i="24" s="1"/>
  <c r="AN7" i="32"/>
  <c r="J23" i="24" s="1"/>
  <c r="AP7" i="32"/>
  <c r="K23" i="24" s="1"/>
  <c r="AL7" i="32"/>
  <c r="I23" i="24" s="1"/>
  <c r="AJ7" i="32"/>
  <c r="H23" i="24" s="1"/>
  <c r="AE7" i="32"/>
  <c r="AE14" i="32"/>
  <c r="W8" i="32"/>
  <c r="W10" i="32" s="1"/>
  <c r="V22" i="22" s="1"/>
  <c r="W17" i="32"/>
  <c r="K15" i="32"/>
  <c r="X15" i="32"/>
  <c r="K8" i="32"/>
  <c r="K10" i="32" s="1"/>
  <c r="J22" i="22" s="1"/>
  <c r="J17" i="32"/>
  <c r="O8" i="48"/>
  <c r="O20" i="48"/>
  <c r="O12" i="48"/>
  <c r="O11" i="48"/>
  <c r="O24" i="48"/>
  <c r="O14" i="48"/>
  <c r="O19" i="48"/>
  <c r="O22" i="48"/>
  <c r="O21" i="48"/>
  <c r="O17" i="48"/>
  <c r="O23" i="48"/>
  <c r="F7" i="23"/>
  <c r="F27" i="23" s="1"/>
  <c r="E23" i="39" s="1"/>
  <c r="P15" i="22"/>
  <c r="E12" i="24" s="1"/>
  <c r="F10" i="22"/>
  <c r="F29" i="22" s="1"/>
  <c r="E22" i="36" s="1"/>
  <c r="I12" i="24"/>
  <c r="T6" i="22"/>
  <c r="Z6" i="22" s="1"/>
  <c r="R6" i="22"/>
  <c r="C6" i="22"/>
  <c r="AM26" i="32"/>
  <c r="AJ30" i="32"/>
  <c r="AI33" i="32"/>
  <c r="AO23" i="32"/>
  <c r="AJ31" i="32"/>
  <c r="AO24" i="32"/>
  <c r="I22" i="23"/>
  <c r="G18" i="39"/>
  <c r="G7" i="47"/>
  <c r="AJ16" i="32"/>
  <c r="AO9" i="32"/>
  <c r="J7" i="48"/>
  <c r="AQ25" i="32"/>
  <c r="AK32" i="32"/>
  <c r="AS25" i="32" s="1"/>
  <c r="E17" i="36"/>
  <c r="G24" i="22"/>
  <c r="M6" i="47"/>
  <c r="I16" i="23" l="1"/>
  <c r="C17" i="22"/>
  <c r="D14" i="24" s="1"/>
  <c r="Q17" i="22"/>
  <c r="K11" i="23"/>
  <c r="J14" i="23"/>
  <c r="K14" i="23" s="1"/>
  <c r="L14" i="23" s="1"/>
  <c r="M14" i="23" s="1"/>
  <c r="N14" i="23" s="1"/>
  <c r="O14" i="23" s="1"/>
  <c r="H10" i="39"/>
  <c r="I10" i="39" s="1"/>
  <c r="J18" i="22"/>
  <c r="K18" i="22" s="1"/>
  <c r="L18" i="22" s="1"/>
  <c r="M18" i="22" s="1"/>
  <c r="N18" i="22" s="1"/>
  <c r="O18" i="22" s="1"/>
  <c r="H11" i="36"/>
  <c r="J13" i="23"/>
  <c r="J16" i="23" s="1"/>
  <c r="H9" i="39"/>
  <c r="I9" i="39" s="1"/>
  <c r="P26" i="22"/>
  <c r="E30" i="24" s="1"/>
  <c r="AG26" i="22"/>
  <c r="J30" i="24" s="1"/>
  <c r="AH26" i="22"/>
  <c r="K30" i="24" s="1"/>
  <c r="AC26" i="22"/>
  <c r="F30" i="24" s="1"/>
  <c r="AI26" i="22"/>
  <c r="L30" i="24" s="1"/>
  <c r="AJ26" i="22"/>
  <c r="M30" i="24" s="1"/>
  <c r="AD26" i="22"/>
  <c r="G30" i="24" s="1"/>
  <c r="AE26" i="22"/>
  <c r="H30" i="24" s="1"/>
  <c r="AF26" i="22"/>
  <c r="I30" i="24" s="1"/>
  <c r="AG7" i="32"/>
  <c r="AF14" i="32"/>
  <c r="X8" i="32"/>
  <c r="X10" i="32" s="1"/>
  <c r="W22" i="22" s="1"/>
  <c r="X17" i="32"/>
  <c r="L15" i="32"/>
  <c r="Y15" i="32"/>
  <c r="L8" i="32"/>
  <c r="L10" i="32" s="1"/>
  <c r="K22" i="22" s="1"/>
  <c r="K17" i="32"/>
  <c r="C7" i="22"/>
  <c r="C8" i="22"/>
  <c r="C6" i="23"/>
  <c r="D6" i="25" s="1"/>
  <c r="I14" i="98"/>
  <c r="X6" i="22"/>
  <c r="P6" i="22" s="1"/>
  <c r="AK30" i="32"/>
  <c r="AQ23" i="32"/>
  <c r="AJ33" i="32"/>
  <c r="C6" i="39"/>
  <c r="AQ24" i="32"/>
  <c r="AK31" i="32"/>
  <c r="AS24" i="32" s="1"/>
  <c r="K7" i="48"/>
  <c r="H7" i="47"/>
  <c r="N6" i="47"/>
  <c r="F17" i="36"/>
  <c r="H24" i="22"/>
  <c r="C6" i="36"/>
  <c r="AQ9" i="32"/>
  <c r="AK16" i="32"/>
  <c r="AS9" i="32" s="1"/>
  <c r="J22" i="23"/>
  <c r="H18" i="39"/>
  <c r="I18" i="39" s="1"/>
  <c r="AO26" i="32"/>
  <c r="C18" i="22" l="1"/>
  <c r="D15" i="24" s="1"/>
  <c r="Q18" i="22"/>
  <c r="R17" i="22"/>
  <c r="S17" i="22" s="1"/>
  <c r="T17" i="22" s="1"/>
  <c r="U17" i="22" s="1"/>
  <c r="V17" i="22" s="1"/>
  <c r="W17" i="22" s="1"/>
  <c r="X17" i="22" s="1"/>
  <c r="Y17" i="22" s="1"/>
  <c r="Z17" i="22" s="1"/>
  <c r="AA17" i="22" s="1"/>
  <c r="AB17" i="22" s="1"/>
  <c r="L11" i="23"/>
  <c r="K13" i="23"/>
  <c r="L13" i="23" s="1"/>
  <c r="M13" i="23" s="1"/>
  <c r="N13" i="23" s="1"/>
  <c r="O13" i="23" s="1"/>
  <c r="Q13" i="23" s="1"/>
  <c r="Q14" i="23"/>
  <c r="C14" i="23"/>
  <c r="D14" i="25" s="1"/>
  <c r="AG14" i="32"/>
  <c r="AI7" i="32"/>
  <c r="Y8" i="32"/>
  <c r="Y10" i="32" s="1"/>
  <c r="X22" i="22" s="1"/>
  <c r="Y17" i="32"/>
  <c r="M15" i="32"/>
  <c r="Z15" i="32"/>
  <c r="M8" i="32"/>
  <c r="M10" i="32" s="1"/>
  <c r="L22" i="22" s="1"/>
  <c r="L17" i="32"/>
  <c r="I22" i="98"/>
  <c r="D6" i="24"/>
  <c r="E11" i="47"/>
  <c r="AC6" i="22"/>
  <c r="P13" i="98"/>
  <c r="Q13" i="98" s="1"/>
  <c r="Q9" i="98"/>
  <c r="O6" i="47"/>
  <c r="I7" i="47"/>
  <c r="E7" i="39"/>
  <c r="K22" i="23"/>
  <c r="D6" i="36"/>
  <c r="L7" i="48"/>
  <c r="C7" i="39"/>
  <c r="AQ26" i="32"/>
  <c r="P13" i="22"/>
  <c r="G17" i="36"/>
  <c r="I24" i="22"/>
  <c r="D6" i="39"/>
  <c r="AK33" i="32"/>
  <c r="AS23" i="32"/>
  <c r="AS26" i="32" s="1"/>
  <c r="K16" i="23" l="1"/>
  <c r="P17" i="22"/>
  <c r="E14" i="24" s="1"/>
  <c r="AF17" i="22"/>
  <c r="I14" i="24" s="1"/>
  <c r="AJ17" i="22"/>
  <c r="M14" i="24" s="1"/>
  <c r="AI17" i="22"/>
  <c r="L14" i="24" s="1"/>
  <c r="AG17" i="22"/>
  <c r="J14" i="24" s="1"/>
  <c r="AC17" i="22"/>
  <c r="F14" i="24" s="1"/>
  <c r="AE17" i="22"/>
  <c r="H14" i="24" s="1"/>
  <c r="AD17" i="22"/>
  <c r="G14" i="24" s="1"/>
  <c r="AH17" i="22"/>
  <c r="K14" i="24" s="1"/>
  <c r="R18" i="22"/>
  <c r="S18" i="22" s="1"/>
  <c r="T18" i="22" s="1"/>
  <c r="U18" i="22" s="1"/>
  <c r="V18" i="22" s="1"/>
  <c r="W18" i="22" s="1"/>
  <c r="X18" i="22" s="1"/>
  <c r="Y18" i="22" s="1"/>
  <c r="Z18" i="22" s="1"/>
  <c r="AA18" i="22" s="1"/>
  <c r="AB18" i="22" s="1"/>
  <c r="M11" i="23"/>
  <c r="L16" i="23"/>
  <c r="C13" i="23"/>
  <c r="D13" i="25" s="1"/>
  <c r="E10" i="48"/>
  <c r="R14" i="23"/>
  <c r="S14" i="23" s="1"/>
  <c r="T14" i="23" s="1"/>
  <c r="U14" i="23" s="1"/>
  <c r="V14" i="23" s="1"/>
  <c r="W14" i="23" s="1"/>
  <c r="X14" i="23" s="1"/>
  <c r="Y14" i="23" s="1"/>
  <c r="Z14" i="23" s="1"/>
  <c r="AA14" i="23" s="1"/>
  <c r="AB14" i="23" s="1"/>
  <c r="R13" i="23"/>
  <c r="S13" i="23" s="1"/>
  <c r="T13" i="23" s="1"/>
  <c r="U13" i="23" s="1"/>
  <c r="V13" i="23" s="1"/>
  <c r="W13" i="23" s="1"/>
  <c r="X13" i="23" s="1"/>
  <c r="Y13" i="23" s="1"/>
  <c r="Z13" i="23" s="1"/>
  <c r="AA13" i="23" s="1"/>
  <c r="AB13" i="23" s="1"/>
  <c r="AH14" i="32"/>
  <c r="AK7" i="32"/>
  <c r="D7" i="39"/>
  <c r="N15" i="32"/>
  <c r="AA15" i="32"/>
  <c r="N8" i="32"/>
  <c r="N10" i="32" s="1"/>
  <c r="M22" i="22" s="1"/>
  <c r="M17" i="32"/>
  <c r="Z8" i="32"/>
  <c r="Z10" i="32" s="1"/>
  <c r="Y22" i="22" s="1"/>
  <c r="Z17" i="32"/>
  <c r="E18" i="47"/>
  <c r="F18" i="47" s="1"/>
  <c r="G18" i="47" s="1"/>
  <c r="H18" i="47" s="1"/>
  <c r="I18" i="47" s="1"/>
  <c r="I24" i="98"/>
  <c r="E20" i="47" s="1"/>
  <c r="F20" i="47" s="1"/>
  <c r="G20" i="47" s="1"/>
  <c r="H20" i="47" s="1"/>
  <c r="I20" i="47" s="1"/>
  <c r="P18" i="98"/>
  <c r="Q18" i="98" s="1"/>
  <c r="O19" i="98"/>
  <c r="P19" i="98" s="1"/>
  <c r="Q19" i="98" s="1"/>
  <c r="O20" i="98"/>
  <c r="P20" i="98" s="1"/>
  <c r="Q20" i="98" s="1"/>
  <c r="F11" i="47"/>
  <c r="AI6" i="22"/>
  <c r="AG6" i="22"/>
  <c r="AE6" i="22"/>
  <c r="AJ6" i="22"/>
  <c r="AH6" i="22"/>
  <c r="AF6" i="22"/>
  <c r="AD6" i="22"/>
  <c r="L22" i="23"/>
  <c r="J7" i="47"/>
  <c r="E6" i="39"/>
  <c r="M7" i="48"/>
  <c r="E6" i="36"/>
  <c r="J24" i="22"/>
  <c r="H17" i="36"/>
  <c r="I17" i="36" s="1"/>
  <c r="E10" i="24"/>
  <c r="AG13" i="22"/>
  <c r="AJ13" i="22"/>
  <c r="AI13" i="22"/>
  <c r="AH13" i="22"/>
  <c r="P18" i="22" l="1"/>
  <c r="E15" i="24" s="1"/>
  <c r="AF18" i="22"/>
  <c r="I15" i="24" s="1"/>
  <c r="AJ18" i="22"/>
  <c r="M15" i="24" s="1"/>
  <c r="AI18" i="22"/>
  <c r="L15" i="24" s="1"/>
  <c r="AG18" i="22"/>
  <c r="J15" i="24" s="1"/>
  <c r="AC18" i="22"/>
  <c r="F15" i="24" s="1"/>
  <c r="AE18" i="22"/>
  <c r="H15" i="24" s="1"/>
  <c r="AD18" i="22"/>
  <c r="G15" i="24" s="1"/>
  <c r="AH18" i="22"/>
  <c r="K15" i="24" s="1"/>
  <c r="N11" i="23"/>
  <c r="M16" i="23"/>
  <c r="P14" i="23"/>
  <c r="E14" i="25" s="1"/>
  <c r="P13" i="23"/>
  <c r="E13" i="25" s="1"/>
  <c r="F13" i="48"/>
  <c r="G13" i="48" s="1"/>
  <c r="H13" i="48" s="1"/>
  <c r="I13" i="48" s="1"/>
  <c r="J13" i="48" s="1"/>
  <c r="K13" i="48" s="1"/>
  <c r="L13" i="48" s="1"/>
  <c r="M13" i="48" s="1"/>
  <c r="N13" i="48" s="1"/>
  <c r="O13" i="48" s="1"/>
  <c r="E15" i="48"/>
  <c r="F15" i="48" s="1"/>
  <c r="G15" i="48" s="1"/>
  <c r="H15" i="48" s="1"/>
  <c r="I15" i="48" s="1"/>
  <c r="J15" i="48" s="1"/>
  <c r="K15" i="48" s="1"/>
  <c r="L15" i="48" s="1"/>
  <c r="M15" i="48" s="1"/>
  <c r="N15" i="48" s="1"/>
  <c r="O15" i="48" s="1"/>
  <c r="E17" i="48"/>
  <c r="Q12" i="98"/>
  <c r="Q28" i="98" s="1"/>
  <c r="D21" i="29" s="1"/>
  <c r="D22" i="29" s="1"/>
  <c r="F14" i="48"/>
  <c r="G14" i="48" s="1"/>
  <c r="H14" i="48" s="1"/>
  <c r="I14" i="48" s="1"/>
  <c r="E16" i="48"/>
  <c r="F16" i="48" s="1"/>
  <c r="G16" i="48" s="1"/>
  <c r="H16" i="48" s="1"/>
  <c r="I16" i="48" s="1"/>
  <c r="J16" i="48" s="1"/>
  <c r="K16" i="48" s="1"/>
  <c r="L16" i="48" s="1"/>
  <c r="F10" i="48"/>
  <c r="AH13" i="23"/>
  <c r="K13" i="25" s="1"/>
  <c r="AC13" i="23"/>
  <c r="F13" i="25" s="1"/>
  <c r="AE13" i="23"/>
  <c r="H13" i="25" s="1"/>
  <c r="AG13" i="23"/>
  <c r="J13" i="25" s="1"/>
  <c r="AF13" i="23"/>
  <c r="I13" i="25" s="1"/>
  <c r="AD13" i="23"/>
  <c r="G13" i="25" s="1"/>
  <c r="AI13" i="23"/>
  <c r="L13" i="25" s="1"/>
  <c r="AJ13" i="23"/>
  <c r="M13" i="25" s="1"/>
  <c r="AE14" i="23"/>
  <c r="H14" i="25" s="1"/>
  <c r="AJ14" i="23"/>
  <c r="M14" i="25" s="1"/>
  <c r="AG14" i="23"/>
  <c r="J14" i="25" s="1"/>
  <c r="AI14" i="23"/>
  <c r="L14" i="25" s="1"/>
  <c r="AF14" i="23"/>
  <c r="I14" i="25" s="1"/>
  <c r="AH14" i="23"/>
  <c r="K14" i="25" s="1"/>
  <c r="AC14" i="23"/>
  <c r="F14" i="25" s="1"/>
  <c r="AD14" i="23"/>
  <c r="G14" i="25" s="1"/>
  <c r="AM7" i="32"/>
  <c r="AI14" i="32"/>
  <c r="AA8" i="32"/>
  <c r="AA10" i="32" s="1"/>
  <c r="Z22" i="22" s="1"/>
  <c r="AA17" i="32"/>
  <c r="O15" i="32"/>
  <c r="AB15" i="32"/>
  <c r="O8" i="32"/>
  <c r="O10" i="32" s="1"/>
  <c r="N22" i="22" s="1"/>
  <c r="N17" i="32"/>
  <c r="I25" i="98"/>
  <c r="E21" i="47" s="1"/>
  <c r="F21" i="47" s="1"/>
  <c r="G21" i="47" s="1"/>
  <c r="H21" i="47" s="1"/>
  <c r="I21" i="47" s="1"/>
  <c r="J21" i="47" s="1"/>
  <c r="K21" i="47" s="1"/>
  <c r="I23" i="98"/>
  <c r="E19" i="47" s="1"/>
  <c r="P7" i="22"/>
  <c r="AC7" i="22" s="1"/>
  <c r="P8" i="22"/>
  <c r="G11" i="47"/>
  <c r="H10" i="24"/>
  <c r="M22" i="23"/>
  <c r="L10" i="24"/>
  <c r="F10" i="24"/>
  <c r="K7" i="47"/>
  <c r="G10" i="24"/>
  <c r="J10" i="24"/>
  <c r="K24" i="22"/>
  <c r="F6" i="36"/>
  <c r="H13" i="22"/>
  <c r="N7" i="48"/>
  <c r="F6" i="39"/>
  <c r="M10" i="24"/>
  <c r="K10" i="24"/>
  <c r="I10" i="24"/>
  <c r="O11" i="23" l="1"/>
  <c r="N16" i="23"/>
  <c r="E25" i="48"/>
  <c r="F17" i="48"/>
  <c r="G17" i="48" s="1"/>
  <c r="H17" i="48" s="1"/>
  <c r="I17" i="48" s="1"/>
  <c r="J17" i="48" s="1"/>
  <c r="K17" i="48" s="1"/>
  <c r="G10" i="48"/>
  <c r="AJ14" i="32"/>
  <c r="AO7" i="32"/>
  <c r="AC15" i="32"/>
  <c r="P15" i="32"/>
  <c r="O17" i="32"/>
  <c r="P8" i="32"/>
  <c r="AB8" i="32"/>
  <c r="AB10" i="32" s="1"/>
  <c r="AA22" i="22" s="1"/>
  <c r="AB17" i="32"/>
  <c r="F19" i="47"/>
  <c r="AD7" i="22"/>
  <c r="AI7" i="22"/>
  <c r="AH7" i="22"/>
  <c r="AF7" i="22"/>
  <c r="AE7" i="22"/>
  <c r="AJ7" i="22"/>
  <c r="AG7" i="22"/>
  <c r="AC8" i="22"/>
  <c r="AC10" i="22" s="1"/>
  <c r="E6" i="24"/>
  <c r="H11" i="47"/>
  <c r="C9" i="36"/>
  <c r="I9" i="36" s="1"/>
  <c r="C16" i="22"/>
  <c r="D13" i="24" s="1"/>
  <c r="C12" i="39"/>
  <c r="D29" i="23"/>
  <c r="G6" i="36"/>
  <c r="I13" i="22"/>
  <c r="N22" i="23"/>
  <c r="L24" i="22"/>
  <c r="L7" i="47"/>
  <c r="G6" i="39"/>
  <c r="I6" i="39" s="1"/>
  <c r="O7" i="48"/>
  <c r="Q11" i="23" l="1"/>
  <c r="O16" i="23"/>
  <c r="F25" i="48"/>
  <c r="D39" i="25" s="1"/>
  <c r="D10" i="29" s="1"/>
  <c r="H10" i="48"/>
  <c r="G25" i="48"/>
  <c r="E39" i="25" s="1"/>
  <c r="E10" i="29" s="1"/>
  <c r="AK14" i="32"/>
  <c r="AS7" i="32" s="1"/>
  <c r="AQ7" i="32"/>
  <c r="D8" i="32"/>
  <c r="P10" i="32"/>
  <c r="O22" i="22" s="1"/>
  <c r="C22" i="22" s="1"/>
  <c r="C8" i="32"/>
  <c r="Q15" i="32"/>
  <c r="P17" i="32"/>
  <c r="C10" i="32" s="1"/>
  <c r="AD15" i="32"/>
  <c r="AC17" i="32"/>
  <c r="AC8" i="32"/>
  <c r="G19" i="47"/>
  <c r="AJ8" i="22"/>
  <c r="M6" i="24" s="1"/>
  <c r="AI8" i="22"/>
  <c r="L6" i="24" s="1"/>
  <c r="AG8" i="22"/>
  <c r="J6" i="24" s="1"/>
  <c r="AE8" i="22"/>
  <c r="H6" i="24" s="1"/>
  <c r="AD8" i="22"/>
  <c r="G6" i="24" s="1"/>
  <c r="AF8" i="22"/>
  <c r="I6" i="24" s="1"/>
  <c r="AH8" i="22"/>
  <c r="K6" i="24" s="1"/>
  <c r="F6" i="24"/>
  <c r="I11" i="47"/>
  <c r="G29" i="23"/>
  <c r="M29" i="23"/>
  <c r="C25" i="39"/>
  <c r="O29" i="23"/>
  <c r="Q29" i="23" s="1"/>
  <c r="J29" i="23"/>
  <c r="D30" i="23"/>
  <c r="D32" i="23" s="1"/>
  <c r="D34" i="23" s="1"/>
  <c r="N29" i="23"/>
  <c r="I29" i="23"/>
  <c r="L29" i="23"/>
  <c r="E29" i="23"/>
  <c r="K29" i="23"/>
  <c r="H29" i="23"/>
  <c r="F29" i="23"/>
  <c r="D12" i="39"/>
  <c r="H6" i="36"/>
  <c r="I6" i="36" s="1"/>
  <c r="J13" i="22"/>
  <c r="H6" i="39"/>
  <c r="M7" i="47"/>
  <c r="O22" i="23"/>
  <c r="Q22" i="23" s="1"/>
  <c r="M24" i="22"/>
  <c r="R11" i="23" l="1"/>
  <c r="C6" i="27"/>
  <c r="D6" i="27" s="1"/>
  <c r="E30" i="98"/>
  <c r="H30" i="98" s="1"/>
  <c r="I30" i="98" s="1"/>
  <c r="E26" i="47" s="1"/>
  <c r="F26" i="47" s="1"/>
  <c r="G26" i="47" s="1"/>
  <c r="H26" i="47" s="1"/>
  <c r="I26" i="47" s="1"/>
  <c r="E27" i="98"/>
  <c r="H27" i="98" s="1"/>
  <c r="I27" i="98" s="1"/>
  <c r="I10" i="48"/>
  <c r="H25" i="48"/>
  <c r="F39" i="25" s="1"/>
  <c r="AD17" i="32"/>
  <c r="AE15" i="32"/>
  <c r="AE8" i="32"/>
  <c r="AE10" i="32" s="1"/>
  <c r="Q8" i="32"/>
  <c r="Q10" i="32" s="1"/>
  <c r="Q17" i="32"/>
  <c r="AD8" i="32"/>
  <c r="AC10" i="32"/>
  <c r="AB22" i="22" s="1"/>
  <c r="D38" i="32"/>
  <c r="D24" i="24"/>
  <c r="D22" i="24" s="1"/>
  <c r="D10" i="32"/>
  <c r="H19" i="47"/>
  <c r="J11" i="47"/>
  <c r="C29" i="23"/>
  <c r="D36" i="25" s="1"/>
  <c r="F30" i="23"/>
  <c r="E25" i="39"/>
  <c r="E26" i="39" s="1"/>
  <c r="F25" i="39"/>
  <c r="D25" i="39"/>
  <c r="D26" i="39" s="1"/>
  <c r="D28" i="39" s="1"/>
  <c r="E30" i="23"/>
  <c r="E32" i="23" s="1"/>
  <c r="E34" i="23" s="1"/>
  <c r="E12" i="39"/>
  <c r="G25" i="39"/>
  <c r="H25" i="39"/>
  <c r="AA29" i="23"/>
  <c r="V29" i="23"/>
  <c r="W29" i="23"/>
  <c r="R29" i="23"/>
  <c r="X29" i="23"/>
  <c r="U29" i="23"/>
  <c r="S29" i="23"/>
  <c r="Y29" i="23"/>
  <c r="T29" i="23"/>
  <c r="Z29" i="23"/>
  <c r="AB29" i="23"/>
  <c r="C26" i="39"/>
  <c r="C28" i="39" s="1"/>
  <c r="Z22" i="23"/>
  <c r="V22" i="23"/>
  <c r="R22" i="23"/>
  <c r="Y22" i="23"/>
  <c r="U22" i="23"/>
  <c r="X22" i="23"/>
  <c r="W22" i="23"/>
  <c r="AB22" i="23"/>
  <c r="T22" i="23"/>
  <c r="AA22" i="23"/>
  <c r="S22" i="23"/>
  <c r="C22" i="23"/>
  <c r="N24" i="22"/>
  <c r="N7" i="47"/>
  <c r="K13" i="22"/>
  <c r="S11" i="23" l="1"/>
  <c r="I25" i="39"/>
  <c r="F10" i="29"/>
  <c r="E6" i="27"/>
  <c r="J10" i="48"/>
  <c r="I25" i="48"/>
  <c r="G39" i="25" s="1"/>
  <c r="G10" i="29" s="1"/>
  <c r="E23" i="47"/>
  <c r="I26" i="98"/>
  <c r="AJ22" i="22"/>
  <c r="AH22" i="22"/>
  <c r="AI22" i="22"/>
  <c r="AF22" i="22"/>
  <c r="AD22" i="22"/>
  <c r="AC22" i="22"/>
  <c r="AE22" i="22"/>
  <c r="AG22" i="22"/>
  <c r="P22" i="22"/>
  <c r="D25" i="22"/>
  <c r="J32" i="2"/>
  <c r="AJ8" i="32"/>
  <c r="AL8" i="32"/>
  <c r="AR8" i="32"/>
  <c r="AN8" i="32"/>
  <c r="AP8" i="32"/>
  <c r="E24" i="24"/>
  <c r="E22" i="24" s="1"/>
  <c r="AF8" i="32"/>
  <c r="AH8" i="32"/>
  <c r="AT8" i="32"/>
  <c r="AD10" i="32"/>
  <c r="AE17" i="32"/>
  <c r="AF15" i="32"/>
  <c r="AG8" i="32"/>
  <c r="AG10" i="32" s="1"/>
  <c r="I19" i="47"/>
  <c r="K11" i="47"/>
  <c r="AH29" i="23"/>
  <c r="K36" i="25" s="1"/>
  <c r="AJ29" i="23"/>
  <c r="M36" i="25" s="1"/>
  <c r="AD29" i="23"/>
  <c r="G36" i="25" s="1"/>
  <c r="AF29" i="23"/>
  <c r="I36" i="25" s="1"/>
  <c r="AG29" i="23"/>
  <c r="J36" i="25" s="1"/>
  <c r="AE29" i="23"/>
  <c r="H36" i="25" s="1"/>
  <c r="AC29" i="23"/>
  <c r="F36" i="25" s="1"/>
  <c r="AI29" i="23"/>
  <c r="L36" i="25" s="1"/>
  <c r="P29" i="23"/>
  <c r="E36" i="25" s="1"/>
  <c r="F32" i="23"/>
  <c r="F34" i="23" s="1"/>
  <c r="E28" i="39"/>
  <c r="P22" i="23"/>
  <c r="L13" i="22"/>
  <c r="O7" i="47"/>
  <c r="AH22" i="23"/>
  <c r="AD22" i="23"/>
  <c r="AG22" i="23"/>
  <c r="AC22" i="23"/>
  <c r="AF22" i="23"/>
  <c r="AE22" i="23"/>
  <c r="AJ22" i="23"/>
  <c r="AI22" i="23"/>
  <c r="O24" i="22"/>
  <c r="D29" i="25"/>
  <c r="T11" i="23" l="1"/>
  <c r="K10" i="48"/>
  <c r="J25" i="48"/>
  <c r="H39" i="25" s="1"/>
  <c r="H10" i="29" s="1"/>
  <c r="F6" i="27"/>
  <c r="F23" i="47"/>
  <c r="L24" i="24"/>
  <c r="L22" i="24" s="1"/>
  <c r="AR10" i="32"/>
  <c r="C18" i="36"/>
  <c r="I18" i="36" s="1"/>
  <c r="Q25" i="22"/>
  <c r="C25" i="22"/>
  <c r="D29" i="24" s="1"/>
  <c r="I24" i="24"/>
  <c r="I22" i="24" s="1"/>
  <c r="AL10" i="32"/>
  <c r="M24" i="24"/>
  <c r="M22" i="24" s="1"/>
  <c r="AT10" i="32"/>
  <c r="K24" i="24"/>
  <c r="K22" i="24" s="1"/>
  <c r="AP10" i="32"/>
  <c r="H24" i="24"/>
  <c r="H22" i="24" s="1"/>
  <c r="AJ10" i="32"/>
  <c r="F24" i="24"/>
  <c r="F22" i="24" s="1"/>
  <c r="AF10" i="32"/>
  <c r="AF17" i="32"/>
  <c r="AI8" i="32"/>
  <c r="AI10" i="32" s="1"/>
  <c r="AK10" i="32" s="1"/>
  <c r="AG15" i="32"/>
  <c r="G24" i="24"/>
  <c r="G22" i="24" s="1"/>
  <c r="AH10" i="32"/>
  <c r="J24" i="24"/>
  <c r="J22" i="24" s="1"/>
  <c r="AN10" i="32"/>
  <c r="L11" i="47"/>
  <c r="G29" i="25"/>
  <c r="I29" i="25"/>
  <c r="K29" i="25"/>
  <c r="E29" i="25"/>
  <c r="H29" i="25"/>
  <c r="L29" i="25"/>
  <c r="F29" i="25"/>
  <c r="M13" i="22"/>
  <c r="AA24" i="22"/>
  <c r="W24" i="22"/>
  <c r="S24" i="22"/>
  <c r="Z24" i="22"/>
  <c r="U24" i="22"/>
  <c r="Y24" i="22"/>
  <c r="T24" i="22"/>
  <c r="X24" i="22"/>
  <c r="R24" i="22"/>
  <c r="Q24" i="22"/>
  <c r="AB24" i="22"/>
  <c r="V24" i="22"/>
  <c r="C24" i="22"/>
  <c r="M29" i="25"/>
  <c r="J29" i="25"/>
  <c r="U11" i="23" l="1"/>
  <c r="G6" i="27"/>
  <c r="L10" i="48"/>
  <c r="K25" i="48"/>
  <c r="I39" i="25" s="1"/>
  <c r="I10" i="29" s="1"/>
  <c r="G23" i="47"/>
  <c r="P25" i="22"/>
  <c r="E29" i="24" s="1"/>
  <c r="AD25" i="22"/>
  <c r="G29" i="24" s="1"/>
  <c r="AJ25" i="22"/>
  <c r="M29" i="24" s="1"/>
  <c r="AE25" i="22"/>
  <c r="H29" i="24" s="1"/>
  <c r="AH25" i="22"/>
  <c r="K29" i="24" s="1"/>
  <c r="AI25" i="22"/>
  <c r="L29" i="24" s="1"/>
  <c r="AG25" i="22"/>
  <c r="J29" i="24" s="1"/>
  <c r="AC25" i="22"/>
  <c r="F29" i="24" s="1"/>
  <c r="AF25" i="22"/>
  <c r="I29" i="24" s="1"/>
  <c r="AK8" i="32"/>
  <c r="AH15" i="32"/>
  <c r="AG17" i="32"/>
  <c r="M11" i="47"/>
  <c r="AI24" i="22"/>
  <c r="AE24" i="22"/>
  <c r="AF24" i="22"/>
  <c r="AJ24" i="22"/>
  <c r="AD24" i="22"/>
  <c r="AH24" i="22"/>
  <c r="AC24" i="22"/>
  <c r="AG24" i="22"/>
  <c r="D28" i="24"/>
  <c r="P24" i="22"/>
  <c r="N13" i="22"/>
  <c r="V11" i="23" l="1"/>
  <c r="M10" i="48"/>
  <c r="L25" i="48"/>
  <c r="J39" i="25" s="1"/>
  <c r="J10" i="29" s="1"/>
  <c r="H6" i="27"/>
  <c r="H23" i="47"/>
  <c r="AM8" i="32"/>
  <c r="AM10" i="32" s="1"/>
  <c r="AI15" i="32"/>
  <c r="AH17" i="32"/>
  <c r="N11" i="47"/>
  <c r="J28" i="24"/>
  <c r="F28" i="24"/>
  <c r="I28" i="24"/>
  <c r="O13" i="22"/>
  <c r="M28" i="24"/>
  <c r="K28" i="24"/>
  <c r="H28" i="24"/>
  <c r="E28" i="24"/>
  <c r="G28" i="24"/>
  <c r="L28" i="24"/>
  <c r="W11" i="23" l="1"/>
  <c r="I6" i="27"/>
  <c r="N10" i="48"/>
  <c r="M25" i="48"/>
  <c r="K39" i="25" s="1"/>
  <c r="K10" i="29" s="1"/>
  <c r="I23" i="47"/>
  <c r="AJ15" i="32"/>
  <c r="AO8" i="32"/>
  <c r="AO10" i="32" s="1"/>
  <c r="AI17" i="32"/>
  <c r="O11" i="47"/>
  <c r="Y10" i="23"/>
  <c r="U10" i="23"/>
  <c r="U16" i="23" s="1"/>
  <c r="AB10" i="23"/>
  <c r="X10" i="23"/>
  <c r="T10" i="23"/>
  <c r="T16" i="23" s="1"/>
  <c r="AA10" i="23"/>
  <c r="W10" i="23"/>
  <c r="S10" i="23"/>
  <c r="S16" i="23" s="1"/>
  <c r="Z10" i="23"/>
  <c r="V10" i="23"/>
  <c r="V16" i="23" s="1"/>
  <c r="R10" i="23"/>
  <c r="R16" i="23" s="1"/>
  <c r="Q10" i="23"/>
  <c r="Q16" i="23" s="1"/>
  <c r="C10" i="23"/>
  <c r="C13" i="22"/>
  <c r="AD10" i="23" l="1"/>
  <c r="D10" i="25"/>
  <c r="X11" i="23"/>
  <c r="W16" i="23"/>
  <c r="O10" i="48"/>
  <c r="O25" i="48" s="1"/>
  <c r="M39" i="25" s="1"/>
  <c r="M10" i="29" s="1"/>
  <c r="N25" i="48"/>
  <c r="L39" i="25" s="1"/>
  <c r="L10" i="29" s="1"/>
  <c r="J6" i="27"/>
  <c r="J23" i="47"/>
  <c r="AQ8" i="32"/>
  <c r="AQ10" i="32" s="1"/>
  <c r="AJ17" i="32"/>
  <c r="AK15" i="32"/>
  <c r="D10" i="24"/>
  <c r="P10" i="23"/>
  <c r="E10" i="25" s="1"/>
  <c r="G10" i="25" l="1"/>
  <c r="AG10" i="23"/>
  <c r="Y11" i="23"/>
  <c r="X16" i="23"/>
  <c r="K6" i="27"/>
  <c r="L6" i="27" s="1"/>
  <c r="K23" i="47"/>
  <c r="AS8" i="32"/>
  <c r="AS10" i="32" s="1"/>
  <c r="AK17" i="32"/>
  <c r="J10" i="25" l="1"/>
  <c r="AJ10" i="23"/>
  <c r="M10" i="25" s="1"/>
  <c r="Z11" i="23"/>
  <c r="Y16" i="23"/>
  <c r="L23" i="47"/>
  <c r="AA11" i="23" l="1"/>
  <c r="Z16" i="23"/>
  <c r="G7" i="23"/>
  <c r="G27" i="23" s="1"/>
  <c r="H7" i="23"/>
  <c r="H27" i="23" s="1"/>
  <c r="AB11" i="23" l="1"/>
  <c r="AB16" i="23" s="1"/>
  <c r="AA16" i="23"/>
  <c r="H10" i="22"/>
  <c r="H29" i="22" s="1"/>
  <c r="G30" i="23"/>
  <c r="I10" i="22"/>
  <c r="I29" i="22" s="1"/>
  <c r="G10" i="22"/>
  <c r="G29" i="22" s="1"/>
  <c r="I7" i="23"/>
  <c r="I27" i="23" s="1"/>
  <c r="R10" i="22"/>
  <c r="F22" i="36" l="1"/>
  <c r="H23" i="39"/>
  <c r="H26" i="39" s="1"/>
  <c r="I30" i="23"/>
  <c r="G22" i="36"/>
  <c r="F23" i="39"/>
  <c r="L10" i="22"/>
  <c r="L29" i="22" s="1"/>
  <c r="N10" i="22"/>
  <c r="N29" i="22" s="1"/>
  <c r="M10" i="22"/>
  <c r="M29" i="22" s="1"/>
  <c r="P6" i="23"/>
  <c r="E6" i="25" s="1"/>
  <c r="D7" i="24"/>
  <c r="C43" i="20" s="1"/>
  <c r="K10" i="22"/>
  <c r="K29" i="22" s="1"/>
  <c r="H30" i="23"/>
  <c r="G23" i="39"/>
  <c r="G26" i="39" s="1"/>
  <c r="D7" i="25"/>
  <c r="C54" i="20" s="1"/>
  <c r="R7" i="23"/>
  <c r="N7" i="23"/>
  <c r="N27" i="23" s="1"/>
  <c r="N30" i="23" s="1"/>
  <c r="K7" i="23"/>
  <c r="K27" i="23" s="1"/>
  <c r="K30" i="23" s="1"/>
  <c r="H22" i="36"/>
  <c r="J10" i="22"/>
  <c r="J29" i="22" s="1"/>
  <c r="O7" i="23"/>
  <c r="O27" i="23" s="1"/>
  <c r="M7" i="23"/>
  <c r="M27" i="23" s="1"/>
  <c r="M30" i="23" s="1"/>
  <c r="J7" i="23"/>
  <c r="J27" i="23" s="1"/>
  <c r="S10" i="22"/>
  <c r="Q7" i="23"/>
  <c r="Q27" i="23" s="1"/>
  <c r="Q10" i="22"/>
  <c r="Q29" i="22" s="1"/>
  <c r="O10" i="22"/>
  <c r="O29" i="22" s="1"/>
  <c r="L7" i="23"/>
  <c r="L27" i="23" s="1"/>
  <c r="L30" i="23" s="1"/>
  <c r="R27" i="23" l="1"/>
  <c r="S27" i="23" s="1"/>
  <c r="T27" i="23" s="1"/>
  <c r="U27" i="23" s="1"/>
  <c r="V27" i="23" s="1"/>
  <c r="W27" i="23" s="1"/>
  <c r="X27" i="23" s="1"/>
  <c r="Y27" i="23" s="1"/>
  <c r="Z27" i="23" s="1"/>
  <c r="AA27" i="23" s="1"/>
  <c r="AB27" i="23" s="1"/>
  <c r="Q30" i="23"/>
  <c r="F26" i="39"/>
  <c r="I23" i="39"/>
  <c r="I26" i="39" s="1"/>
  <c r="C33" i="39" s="1"/>
  <c r="I22" i="36"/>
  <c r="AC6" i="23"/>
  <c r="F6" i="25" s="1"/>
  <c r="C7" i="23"/>
  <c r="J30" i="23"/>
  <c r="C27" i="23"/>
  <c r="O30" i="23"/>
  <c r="C10" i="22"/>
  <c r="C44" i="20"/>
  <c r="C45" i="20" s="1"/>
  <c r="S29" i="22"/>
  <c r="W29" i="22"/>
  <c r="AA29" i="22"/>
  <c r="AB29" i="22"/>
  <c r="U29" i="22"/>
  <c r="Z29" i="22"/>
  <c r="V29" i="22"/>
  <c r="T29" i="22"/>
  <c r="X29" i="22"/>
  <c r="Y29" i="22"/>
  <c r="R29" i="22"/>
  <c r="T10" i="22"/>
  <c r="S7" i="23"/>
  <c r="S30" i="23" s="1"/>
  <c r="F7" i="39"/>
  <c r="G32" i="23"/>
  <c r="G34" i="23" s="1"/>
  <c r="C29" i="22"/>
  <c r="C55" i="20"/>
  <c r="C56" i="20" s="1"/>
  <c r="R30" i="23" l="1"/>
  <c r="AH6" i="23"/>
  <c r="K6" i="25" s="1"/>
  <c r="AI6" i="23"/>
  <c r="L6" i="25" s="1"/>
  <c r="AE6" i="23"/>
  <c r="H6" i="25" s="1"/>
  <c r="AD6" i="23"/>
  <c r="G6" i="25" s="1"/>
  <c r="AG6" i="23"/>
  <c r="J6" i="25" s="1"/>
  <c r="AJ6" i="23"/>
  <c r="M6" i="25" s="1"/>
  <c r="AF6" i="23"/>
  <c r="I6" i="25" s="1"/>
  <c r="C9" i="27"/>
  <c r="D13" i="29" s="1"/>
  <c r="P29" i="22"/>
  <c r="AJ29" i="22"/>
  <c r="AI29" i="22"/>
  <c r="AG29" i="22"/>
  <c r="AD29" i="22"/>
  <c r="AF29" i="22"/>
  <c r="AH29" i="22"/>
  <c r="AE29" i="22"/>
  <c r="AC29" i="22"/>
  <c r="C9" i="26"/>
  <c r="D33" i="24"/>
  <c r="F12" i="39"/>
  <c r="F28" i="39" s="1"/>
  <c r="T7" i="23"/>
  <c r="T30" i="23" s="1"/>
  <c r="H32" i="23"/>
  <c r="H34" i="23" s="1"/>
  <c r="G7" i="39"/>
  <c r="G12" i="39" s="1"/>
  <c r="G28" i="39" s="1"/>
  <c r="U10" i="22"/>
  <c r="C30" i="23"/>
  <c r="D34" i="25"/>
  <c r="D26" i="25" s="1"/>
  <c r="D37" i="25" s="1"/>
  <c r="D13" i="28" l="1"/>
  <c r="V10" i="22"/>
  <c r="U7" i="23"/>
  <c r="U30" i="23" s="1"/>
  <c r="H33" i="24"/>
  <c r="G33" i="24"/>
  <c r="E33" i="24"/>
  <c r="J33" i="24"/>
  <c r="K33" i="24"/>
  <c r="L33" i="24"/>
  <c r="J32" i="23"/>
  <c r="J34" i="23" s="1"/>
  <c r="I32" i="23"/>
  <c r="I34" i="23" s="1"/>
  <c r="H7" i="39"/>
  <c r="H12" i="39" s="1"/>
  <c r="H28" i="39" s="1"/>
  <c r="F33" i="24"/>
  <c r="I33" i="24"/>
  <c r="M33" i="24"/>
  <c r="I7" i="39" l="1"/>
  <c r="I12" i="39" s="1"/>
  <c r="W10" i="22"/>
  <c r="V7" i="23"/>
  <c r="V30" i="23" s="1"/>
  <c r="I28" i="39" l="1"/>
  <c r="C32" i="39"/>
  <c r="C34" i="39" s="1"/>
  <c r="W7" i="23"/>
  <c r="W30" i="23" s="1"/>
  <c r="K32" i="23"/>
  <c r="K34" i="23" s="1"/>
  <c r="X10" i="22"/>
  <c r="L32" i="23"/>
  <c r="L34" i="23" s="1"/>
  <c r="R32" i="23" l="1"/>
  <c r="R34" i="23" s="1"/>
  <c r="M32" i="23"/>
  <c r="M34" i="23" s="1"/>
  <c r="Y10" i="22"/>
  <c r="X7" i="23"/>
  <c r="X30" i="23" s="1"/>
  <c r="B10" i="41"/>
  <c r="D26" i="29"/>
  <c r="H14" i="27"/>
  <c r="D27" i="29"/>
  <c r="K14" i="27"/>
  <c r="D14" i="27"/>
  <c r="I14" i="27"/>
  <c r="J14" i="27"/>
  <c r="F14" i="27"/>
  <c r="C14" i="27"/>
  <c r="G14" i="27"/>
  <c r="L14" i="27"/>
  <c r="E14" i="27"/>
  <c r="D6" i="45" l="1"/>
  <c r="D6" i="46" s="1"/>
  <c r="N32" i="23"/>
  <c r="N34" i="23" s="1"/>
  <c r="Y7" i="23"/>
  <c r="B4" i="41"/>
  <c r="B7" i="41" s="1"/>
  <c r="B14" i="41"/>
  <c r="B17" i="41"/>
  <c r="E17" i="41" s="1"/>
  <c r="S32" i="23"/>
  <c r="S34" i="23" s="1"/>
  <c r="Z10" i="22"/>
  <c r="Y30" i="23" l="1"/>
  <c r="Y32" i="23" s="1"/>
  <c r="Y34" i="23" s="1"/>
  <c r="T32" i="23"/>
  <c r="T34" i="23" s="1"/>
  <c r="Z7" i="23"/>
  <c r="C21" i="41"/>
  <c r="C34" i="41"/>
  <c r="C37" i="41"/>
  <c r="C31" i="41"/>
  <c r="C22" i="41"/>
  <c r="C39" i="41"/>
  <c r="C44" i="41"/>
  <c r="C59" i="41"/>
  <c r="C75" i="41"/>
  <c r="C92" i="41"/>
  <c r="C102" i="41"/>
  <c r="C49" i="41"/>
  <c r="C68" i="41"/>
  <c r="C25" i="41"/>
  <c r="C38" i="41"/>
  <c r="C26" i="41"/>
  <c r="C32" i="41"/>
  <c r="C23" i="41"/>
  <c r="C40" i="41"/>
  <c r="C48" i="41"/>
  <c r="C63" i="41"/>
  <c r="C80" i="41"/>
  <c r="C96" i="41"/>
  <c r="C106" i="41"/>
  <c r="C56" i="41"/>
  <c r="C72" i="41"/>
  <c r="C85" i="41"/>
  <c r="C103" i="41"/>
  <c r="C19" i="41"/>
  <c r="C29" i="41"/>
  <c r="C35" i="41"/>
  <c r="C27" i="41"/>
  <c r="C33" i="41"/>
  <c r="C24" i="41"/>
  <c r="B6" i="42"/>
  <c r="C52" i="41"/>
  <c r="C67" i="41"/>
  <c r="C84" i="41"/>
  <c r="C100" i="41"/>
  <c r="E6" i="42"/>
  <c r="C20" i="41"/>
  <c r="C30" i="41"/>
  <c r="C36" i="41"/>
  <c r="C28" i="41"/>
  <c r="C17" i="41"/>
  <c r="D17" i="41" s="1"/>
  <c r="H17" i="41" s="1"/>
  <c r="B18" i="41" s="1"/>
  <c r="E18" i="41" s="1"/>
  <c r="C18" i="41"/>
  <c r="C6" i="42"/>
  <c r="C55" i="41"/>
  <c r="C71" i="41"/>
  <c r="C88" i="41"/>
  <c r="C101" i="41"/>
  <c r="C45" i="41"/>
  <c r="C64" i="41"/>
  <c r="H6" i="42"/>
  <c r="C93" i="41"/>
  <c r="C60" i="41"/>
  <c r="C119" i="41"/>
  <c r="C135" i="41"/>
  <c r="C69" i="41"/>
  <c r="C118" i="41"/>
  <c r="C165" i="41"/>
  <c r="C58" i="41"/>
  <c r="C182" i="41"/>
  <c r="C126" i="41"/>
  <c r="C248" i="41"/>
  <c r="C184" i="41"/>
  <c r="C87" i="41"/>
  <c r="C226" i="41"/>
  <c r="C215" i="41"/>
  <c r="M6" i="42"/>
  <c r="C76" i="41"/>
  <c r="C107" i="41"/>
  <c r="C123" i="41"/>
  <c r="C41" i="41"/>
  <c r="C78" i="41"/>
  <c r="C105" i="41"/>
  <c r="C132" i="41"/>
  <c r="C137" i="41"/>
  <c r="C153" i="41"/>
  <c r="C169" i="41"/>
  <c r="C185" i="41"/>
  <c r="C43" i="41"/>
  <c r="C66" i="41"/>
  <c r="C98" i="41"/>
  <c r="C114" i="41"/>
  <c r="C138" i="41"/>
  <c r="C154" i="41"/>
  <c r="C170" i="41"/>
  <c r="C186" i="41"/>
  <c r="D6" i="42"/>
  <c r="C95" i="41"/>
  <c r="C139" i="41"/>
  <c r="C171" i="41"/>
  <c r="C204" i="41"/>
  <c r="C220" i="41"/>
  <c r="C236" i="41"/>
  <c r="C252" i="41"/>
  <c r="C77" i="41"/>
  <c r="F6" i="42"/>
  <c r="C160" i="41"/>
  <c r="C192" i="41"/>
  <c r="C217" i="41"/>
  <c r="C233" i="41"/>
  <c r="C249" i="41"/>
  <c r="C110" i="41"/>
  <c r="C151" i="41"/>
  <c r="C183" i="41"/>
  <c r="C201" i="41"/>
  <c r="C214" i="41"/>
  <c r="C230" i="41"/>
  <c r="C246" i="41"/>
  <c r="C256" i="41"/>
  <c r="C82" i="41"/>
  <c r="C140" i="41"/>
  <c r="C172" i="41"/>
  <c r="C203" i="41"/>
  <c r="C219" i="41"/>
  <c r="C235" i="41"/>
  <c r="C251" i="41"/>
  <c r="Q6" i="42"/>
  <c r="R6" i="42"/>
  <c r="L6" i="42"/>
  <c r="C111" i="41"/>
  <c r="C46" i="41"/>
  <c r="C116" i="41"/>
  <c r="C133" i="41"/>
  <c r="C141" i="41"/>
  <c r="C157" i="41"/>
  <c r="C189" i="41"/>
  <c r="C51" i="41"/>
  <c r="C74" i="41"/>
  <c r="C104" i="41"/>
  <c r="C128" i="41"/>
  <c r="C158" i="41"/>
  <c r="C174" i="41"/>
  <c r="C54" i="41"/>
  <c r="C109" i="41"/>
  <c r="C179" i="41"/>
  <c r="C208" i="41"/>
  <c r="C224" i="41"/>
  <c r="C50" i="41"/>
  <c r="C89" i="41"/>
  <c r="C168" i="41"/>
  <c r="C205" i="41"/>
  <c r="C221" i="41"/>
  <c r="C237" i="41"/>
  <c r="C47" i="41"/>
  <c r="C125" i="41"/>
  <c r="C159" i="41"/>
  <c r="C191" i="41"/>
  <c r="C218" i="41"/>
  <c r="C234" i="41"/>
  <c r="C250" i="41"/>
  <c r="C42" i="41"/>
  <c r="C94" i="41"/>
  <c r="C180" i="41"/>
  <c r="C207" i="41"/>
  <c r="C239" i="41"/>
  <c r="S6" i="42"/>
  <c r="C81" i="41"/>
  <c r="C127" i="41"/>
  <c r="C86" i="41"/>
  <c r="C173" i="41"/>
  <c r="C142" i="41"/>
  <c r="C190" i="41"/>
  <c r="C147" i="41"/>
  <c r="C240" i="41"/>
  <c r="K6" i="42"/>
  <c r="C202" i="41"/>
  <c r="C148" i="41"/>
  <c r="C223" i="41"/>
  <c r="C14" i="41"/>
  <c r="I6" i="42"/>
  <c r="C115" i="41"/>
  <c r="C131" i="41"/>
  <c r="C61" i="41"/>
  <c r="C91" i="41"/>
  <c r="C117" i="41"/>
  <c r="C134" i="41"/>
  <c r="C145" i="41"/>
  <c r="C161" i="41"/>
  <c r="C177" i="41"/>
  <c r="C193" i="41"/>
  <c r="C53" i="41"/>
  <c r="C83" i="41"/>
  <c r="C112" i="41"/>
  <c r="C129" i="41"/>
  <c r="C146" i="41"/>
  <c r="C162" i="41"/>
  <c r="C178" i="41"/>
  <c r="C194" i="41"/>
  <c r="C70" i="41"/>
  <c r="C124" i="41"/>
  <c r="C155" i="41"/>
  <c r="C187" i="41"/>
  <c r="C212" i="41"/>
  <c r="C228" i="41"/>
  <c r="C244" i="41"/>
  <c r="C65" i="41"/>
  <c r="C120" i="41"/>
  <c r="C144" i="41"/>
  <c r="C176" i="41"/>
  <c r="C209" i="41"/>
  <c r="C225" i="41"/>
  <c r="C241" i="41"/>
  <c r="C62" i="41"/>
  <c r="C253" i="41"/>
  <c r="C167" i="41"/>
  <c r="C199" i="41"/>
  <c r="C206" i="41"/>
  <c r="C222" i="41"/>
  <c r="C238" i="41"/>
  <c r="C254" i="41"/>
  <c r="C57" i="41"/>
  <c r="C108" i="41"/>
  <c r="C156" i="41"/>
  <c r="C188" i="41"/>
  <c r="C211" i="41"/>
  <c r="C227" i="41"/>
  <c r="C243" i="41"/>
  <c r="T6" i="42"/>
  <c r="J6" i="42"/>
  <c r="P6" i="42"/>
  <c r="C97" i="41"/>
  <c r="C99" i="41"/>
  <c r="C136" i="41"/>
  <c r="C149" i="41"/>
  <c r="C181" i="41"/>
  <c r="C197" i="41"/>
  <c r="C90" i="41"/>
  <c r="C113" i="41"/>
  <c r="C130" i="41"/>
  <c r="C150" i="41"/>
  <c r="C166" i="41"/>
  <c r="C198" i="41"/>
  <c r="C79" i="41"/>
  <c r="C163" i="41"/>
  <c r="C195" i="41"/>
  <c r="C216" i="41"/>
  <c r="C232" i="41"/>
  <c r="G6" i="42"/>
  <c r="C122" i="41"/>
  <c r="C152" i="41"/>
  <c r="C213" i="41"/>
  <c r="C229" i="41"/>
  <c r="C245" i="41"/>
  <c r="C143" i="41"/>
  <c r="C175" i="41"/>
  <c r="C200" i="41"/>
  <c r="C210" i="41"/>
  <c r="C242" i="41"/>
  <c r="C255" i="41"/>
  <c r="C73" i="41"/>
  <c r="C121" i="41"/>
  <c r="C164" i="41"/>
  <c r="C196" i="41"/>
  <c r="C231" i="41"/>
  <c r="C247" i="41"/>
  <c r="N6" i="42"/>
  <c r="O6" i="42"/>
  <c r="U6" i="42"/>
  <c r="AA10" i="22"/>
  <c r="Z30" i="23" l="1"/>
  <c r="Z32" i="23" s="1"/>
  <c r="Z34" i="23" s="1"/>
  <c r="AA7" i="23"/>
  <c r="AB10" i="22"/>
  <c r="Q32" i="23"/>
  <c r="Q34" i="23" s="1"/>
  <c r="U32" i="23"/>
  <c r="U34" i="23" s="1"/>
  <c r="X32" i="23"/>
  <c r="X34" i="23" s="1"/>
  <c r="W32" i="23"/>
  <c r="W34" i="23" s="1"/>
  <c r="D18" i="41"/>
  <c r="H18" i="41" s="1"/>
  <c r="B19" i="41" s="1"/>
  <c r="E19" i="41" s="1"/>
  <c r="D19" i="41" s="1"/>
  <c r="H19" i="41" s="1"/>
  <c r="B20" i="41" s="1"/>
  <c r="E20" i="41" s="1"/>
  <c r="D20" i="41" s="1"/>
  <c r="H20" i="41" s="1"/>
  <c r="B21" i="41" s="1"/>
  <c r="V32" i="23"/>
  <c r="V34" i="23" s="1"/>
  <c r="O32" i="23"/>
  <c r="O34" i="23" s="1"/>
  <c r="C11" i="23"/>
  <c r="C16" i="23" s="1"/>
  <c r="AA30" i="23" l="1"/>
  <c r="AA32" i="23" s="1"/>
  <c r="AA34" i="23" s="1"/>
  <c r="P11" i="23"/>
  <c r="M7" i="24"/>
  <c r="AJ10" i="22"/>
  <c r="G7" i="24"/>
  <c r="AD10" i="22"/>
  <c r="F7" i="24"/>
  <c r="K7" i="24"/>
  <c r="AH10" i="22"/>
  <c r="E7" i="24"/>
  <c r="P10" i="22"/>
  <c r="AE10" i="22"/>
  <c r="H7" i="24"/>
  <c r="J7" i="24"/>
  <c r="AG10" i="22"/>
  <c r="D11" i="25"/>
  <c r="D16" i="25" s="1"/>
  <c r="C32" i="23"/>
  <c r="C34" i="23" s="1"/>
  <c r="AF10" i="22"/>
  <c r="I7" i="24"/>
  <c r="L7" i="24"/>
  <c r="AI10" i="22"/>
  <c r="AB7" i="23"/>
  <c r="E21" i="41"/>
  <c r="D21" i="41" s="1"/>
  <c r="H21" i="41" s="1"/>
  <c r="B22" i="41" s="1"/>
  <c r="AE11" i="23" l="1"/>
  <c r="AE16" i="23" s="1"/>
  <c r="P16" i="23"/>
  <c r="AB30" i="23"/>
  <c r="AB32" i="23" s="1"/>
  <c r="AB34" i="23" s="1"/>
  <c r="E11" i="25"/>
  <c r="E16" i="25" s="1"/>
  <c r="AD11" i="23"/>
  <c r="AJ11" i="23"/>
  <c r="AC11" i="23"/>
  <c r="AG11" i="23"/>
  <c r="AG16" i="23" s="1"/>
  <c r="AH11" i="23"/>
  <c r="AH16" i="23" s="1"/>
  <c r="AI11" i="23"/>
  <c r="AF11" i="23"/>
  <c r="AF16" i="23" s="1"/>
  <c r="I7" i="25"/>
  <c r="AF7" i="23"/>
  <c r="G7" i="25"/>
  <c r="AD7" i="23"/>
  <c r="E43" i="20"/>
  <c r="M7" i="25"/>
  <c r="AJ7" i="23"/>
  <c r="K42" i="20"/>
  <c r="I43" i="20"/>
  <c r="D43" i="20"/>
  <c r="J43" i="20"/>
  <c r="L42" i="20"/>
  <c r="F7" i="25"/>
  <c r="AC7" i="23"/>
  <c r="D18" i="25"/>
  <c r="D38" i="25"/>
  <c r="D49" i="25" s="1"/>
  <c r="C10" i="27"/>
  <c r="C11" i="27" s="1"/>
  <c r="F43" i="20"/>
  <c r="K7" i="25"/>
  <c r="AH7" i="23"/>
  <c r="J7" i="25"/>
  <c r="I54" i="20" s="1"/>
  <c r="AG7" i="23"/>
  <c r="E7" i="25"/>
  <c r="P7" i="23"/>
  <c r="H7" i="25"/>
  <c r="AE7" i="23"/>
  <c r="L7" i="25"/>
  <c r="AI7" i="23"/>
  <c r="H43" i="20"/>
  <c r="G43" i="20"/>
  <c r="E22" i="41"/>
  <c r="D22" i="41" s="1"/>
  <c r="H22" i="41" s="1"/>
  <c r="B23" i="41" s="1"/>
  <c r="H11" i="25" l="1"/>
  <c r="H16" i="25" s="1"/>
  <c r="H18" i="25" s="1"/>
  <c r="F11" i="25"/>
  <c r="F16" i="25" s="1"/>
  <c r="F18" i="25" s="1"/>
  <c r="AC16" i="23"/>
  <c r="L11" i="25"/>
  <c r="L16" i="25" s="1"/>
  <c r="L18" i="25" s="1"/>
  <c r="AI16" i="23"/>
  <c r="M11" i="25"/>
  <c r="M16" i="25" s="1"/>
  <c r="M18" i="25" s="1"/>
  <c r="AJ16" i="23"/>
  <c r="G11" i="25"/>
  <c r="G16" i="25" s="1"/>
  <c r="G18" i="25" s="1"/>
  <c r="AD16" i="23"/>
  <c r="AH27" i="23"/>
  <c r="AD27" i="23"/>
  <c r="AJ27" i="23"/>
  <c r="AE27" i="23"/>
  <c r="AG27" i="23"/>
  <c r="AI27" i="23"/>
  <c r="AF27" i="23"/>
  <c r="AC27" i="23"/>
  <c r="P27" i="23"/>
  <c r="J11" i="25"/>
  <c r="J16" i="25" s="1"/>
  <c r="J18" i="25" s="1"/>
  <c r="I11" i="25"/>
  <c r="I16" i="25" s="1"/>
  <c r="K11" i="25"/>
  <c r="K16" i="25" s="1"/>
  <c r="G44" i="20"/>
  <c r="E44" i="20"/>
  <c r="K43" i="20"/>
  <c r="I44" i="20"/>
  <c r="J54" i="20"/>
  <c r="J55" i="20" s="1"/>
  <c r="D41" i="25"/>
  <c r="D44" i="25" s="1"/>
  <c r="D19" i="25"/>
  <c r="E54" i="20"/>
  <c r="H44" i="20"/>
  <c r="G54" i="20"/>
  <c r="D44" i="20"/>
  <c r="D45" i="20" s="1"/>
  <c r="K53" i="20"/>
  <c r="D54" i="20"/>
  <c r="E18" i="25"/>
  <c r="F44" i="20"/>
  <c r="L43" i="20"/>
  <c r="J44" i="20"/>
  <c r="L53" i="20"/>
  <c r="F54" i="20"/>
  <c r="H54" i="20"/>
  <c r="I55" i="20" s="1"/>
  <c r="E23" i="41"/>
  <c r="D23" i="41" s="1"/>
  <c r="H23" i="41" s="1"/>
  <c r="B24" i="41" s="1"/>
  <c r="F34" i="25" l="1"/>
  <c r="F26" i="25" s="1"/>
  <c r="F37" i="25" s="1"/>
  <c r="F38" i="25" s="1"/>
  <c r="F49" i="25" s="1"/>
  <c r="AC30" i="23"/>
  <c r="AC32" i="23" s="1"/>
  <c r="AC34" i="23" s="1"/>
  <c r="H34" i="25"/>
  <c r="H26" i="25" s="1"/>
  <c r="H37" i="25" s="1"/>
  <c r="H38" i="25" s="1"/>
  <c r="H49" i="25" s="1"/>
  <c r="AE30" i="23"/>
  <c r="AE32" i="23" s="1"/>
  <c r="AE34" i="23" s="1"/>
  <c r="I34" i="25"/>
  <c r="I26" i="25" s="1"/>
  <c r="I37" i="25" s="1"/>
  <c r="I38" i="25" s="1"/>
  <c r="I49" i="25" s="1"/>
  <c r="AF30" i="23"/>
  <c r="AF32" i="23" s="1"/>
  <c r="AF34" i="23" s="1"/>
  <c r="M34" i="25"/>
  <c r="M26" i="25" s="1"/>
  <c r="M37" i="25" s="1"/>
  <c r="M38" i="25" s="1"/>
  <c r="M49" i="25" s="1"/>
  <c r="AJ30" i="23"/>
  <c r="AJ32" i="23" s="1"/>
  <c r="AJ34" i="23" s="1"/>
  <c r="L34" i="25"/>
  <c r="L26" i="25" s="1"/>
  <c r="L37" i="25" s="1"/>
  <c r="L38" i="25" s="1"/>
  <c r="L49" i="25" s="1"/>
  <c r="AI30" i="23"/>
  <c r="AI32" i="23" s="1"/>
  <c r="AI34" i="23" s="1"/>
  <c r="G34" i="25"/>
  <c r="G26" i="25" s="1"/>
  <c r="G37" i="25" s="1"/>
  <c r="G38" i="25" s="1"/>
  <c r="G49" i="25" s="1"/>
  <c r="AD30" i="23"/>
  <c r="AD32" i="23" s="1"/>
  <c r="AD34" i="23" s="1"/>
  <c r="J34" i="25"/>
  <c r="J26" i="25" s="1"/>
  <c r="J37" i="25" s="1"/>
  <c r="J38" i="25" s="1"/>
  <c r="J49" i="25" s="1"/>
  <c r="AG30" i="23"/>
  <c r="AG32" i="23" s="1"/>
  <c r="AG34" i="23" s="1"/>
  <c r="K34" i="25"/>
  <c r="K26" i="25" s="1"/>
  <c r="K37" i="25" s="1"/>
  <c r="K38" i="25" s="1"/>
  <c r="K49" i="25" s="1"/>
  <c r="AH30" i="23"/>
  <c r="AH32" i="23" s="1"/>
  <c r="AH34" i="23" s="1"/>
  <c r="E34" i="25"/>
  <c r="E26" i="25" s="1"/>
  <c r="E37" i="25" s="1"/>
  <c r="E38" i="25" s="1"/>
  <c r="E49" i="25" s="1"/>
  <c r="P30" i="23"/>
  <c r="P32" i="23" s="1"/>
  <c r="P34" i="23" s="1"/>
  <c r="K54" i="20"/>
  <c r="K18" i="25"/>
  <c r="I18" i="25"/>
  <c r="I19" i="25" s="1"/>
  <c r="L54" i="20"/>
  <c r="F55" i="20"/>
  <c r="E55" i="20"/>
  <c r="E45" i="20"/>
  <c r="F13" i="28" s="1"/>
  <c r="D9" i="26"/>
  <c r="E13" i="28"/>
  <c r="F19" i="25"/>
  <c r="L19" i="25"/>
  <c r="D55" i="20"/>
  <c r="H19" i="25"/>
  <c r="J19" i="25"/>
  <c r="M19" i="25"/>
  <c r="E19" i="25"/>
  <c r="G55" i="20"/>
  <c r="H55" i="20"/>
  <c r="G19" i="25"/>
  <c r="C16" i="27"/>
  <c r="D7" i="29"/>
  <c r="E24" i="41"/>
  <c r="D24" i="41" s="1"/>
  <c r="H24" i="41" s="1"/>
  <c r="B25" i="41" s="1"/>
  <c r="F41" i="25" l="1"/>
  <c r="F44" i="25" s="1"/>
  <c r="F7" i="29" s="1"/>
  <c r="D10" i="27"/>
  <c r="E10" i="27" s="1"/>
  <c r="F10" i="27" s="1"/>
  <c r="G10" i="27" s="1"/>
  <c r="H10" i="27" s="1"/>
  <c r="I10" i="27" s="1"/>
  <c r="J10" i="27" s="1"/>
  <c r="K10" i="27" s="1"/>
  <c r="L10" i="27" s="1"/>
  <c r="L41" i="25"/>
  <c r="L44" i="25" s="1"/>
  <c r="L7" i="29" s="1"/>
  <c r="E41" i="25"/>
  <c r="E44" i="25" s="1"/>
  <c r="E7" i="29" s="1"/>
  <c r="J41" i="25"/>
  <c r="J44" i="25" s="1"/>
  <c r="J7" i="29" s="1"/>
  <c r="M41" i="25"/>
  <c r="M44" i="25" s="1"/>
  <c r="M7" i="29" s="1"/>
  <c r="G41" i="25"/>
  <c r="G44" i="25" s="1"/>
  <c r="G7" i="29" s="1"/>
  <c r="K41" i="25"/>
  <c r="K44" i="25" s="1"/>
  <c r="K7" i="29" s="1"/>
  <c r="H41" i="25"/>
  <c r="H44" i="25" s="1"/>
  <c r="H7" i="29" s="1"/>
  <c r="K19" i="25"/>
  <c r="I41" i="25"/>
  <c r="I44" i="25" s="1"/>
  <c r="I7" i="29" s="1"/>
  <c r="D56" i="20"/>
  <c r="D9" i="27" s="1"/>
  <c r="E9" i="26"/>
  <c r="F45" i="20"/>
  <c r="G13" i="28" s="1"/>
  <c r="E25" i="41"/>
  <c r="D25" i="41" s="1"/>
  <c r="H25" i="41" s="1"/>
  <c r="B26" i="41" s="1"/>
  <c r="D11" i="27" l="1"/>
  <c r="D16" i="27"/>
  <c r="E16" i="27" s="1"/>
  <c r="F16" i="27" s="1"/>
  <c r="G16" i="27" s="1"/>
  <c r="H16" i="27" s="1"/>
  <c r="I16" i="27" s="1"/>
  <c r="J16" i="27" s="1"/>
  <c r="K16" i="27" s="1"/>
  <c r="L16" i="27" s="1"/>
  <c r="E13" i="29"/>
  <c r="E56" i="20"/>
  <c r="F56" i="20" s="1"/>
  <c r="G13" i="29" s="1"/>
  <c r="G45" i="20"/>
  <c r="F9" i="26"/>
  <c r="E26" i="41"/>
  <c r="D26" i="41" s="1"/>
  <c r="H26" i="41" s="1"/>
  <c r="B27" i="41" s="1"/>
  <c r="E9" i="27" l="1"/>
  <c r="E11" i="27" s="1"/>
  <c r="F13" i="29"/>
  <c r="H45" i="20"/>
  <c r="I13" i="28" s="1"/>
  <c r="G9" i="26"/>
  <c r="H13" i="28"/>
  <c r="F9" i="27"/>
  <c r="F11" i="27" s="1"/>
  <c r="G56" i="20"/>
  <c r="H13" i="29" s="1"/>
  <c r="E27" i="41"/>
  <c r="D27" i="41" s="1"/>
  <c r="H27" i="41" s="1"/>
  <c r="B28" i="41" s="1"/>
  <c r="G9" i="27" l="1"/>
  <c r="G11" i="27" s="1"/>
  <c r="H56" i="20"/>
  <c r="I13" i="29" s="1"/>
  <c r="I45" i="20"/>
  <c r="H9" i="26"/>
  <c r="E28" i="41"/>
  <c r="J45" i="20" l="1"/>
  <c r="K13" i="28" s="1"/>
  <c r="I9" i="26"/>
  <c r="I56" i="20"/>
  <c r="H9" i="27"/>
  <c r="H11" i="27" s="1"/>
  <c r="J13" i="28"/>
  <c r="D28" i="41"/>
  <c r="H28" i="41" s="1"/>
  <c r="B4" i="42"/>
  <c r="I9" i="27" l="1"/>
  <c r="I11" i="27" s="1"/>
  <c r="J56" i="20"/>
  <c r="J13" i="29"/>
  <c r="J9" i="26"/>
  <c r="K44" i="20"/>
  <c r="L13" i="28" s="1"/>
  <c r="D43" i="25"/>
  <c r="D46" i="25" s="1"/>
  <c r="D28" i="29"/>
  <c r="D29" i="29" s="1"/>
  <c r="B29" i="41"/>
  <c r="B5" i="42"/>
  <c r="C15" i="27" s="1"/>
  <c r="K55" i="20" l="1"/>
  <c r="L13" i="29" s="1"/>
  <c r="J9" i="27"/>
  <c r="J11" i="27" s="1"/>
  <c r="K9" i="26"/>
  <c r="L44" i="20"/>
  <c r="L9" i="26" s="1"/>
  <c r="K13" i="29"/>
  <c r="C13" i="27"/>
  <c r="D6" i="29"/>
  <c r="D15" i="29" s="1"/>
  <c r="D18" i="29" s="1"/>
  <c r="D31" i="29" s="1"/>
  <c r="D35" i="29" s="1"/>
  <c r="D47" i="25"/>
  <c r="E29" i="41"/>
  <c r="M13" i="28" l="1"/>
  <c r="L55" i="20"/>
  <c r="L9" i="27" s="1"/>
  <c r="L11" i="27" s="1"/>
  <c r="K9" i="27"/>
  <c r="K11" i="27" s="1"/>
  <c r="D36" i="29"/>
  <c r="D37" i="29" s="1"/>
  <c r="D7" i="45"/>
  <c r="E33" i="29"/>
  <c r="D29" i="41"/>
  <c r="H29" i="41" s="1"/>
  <c r="B30" i="41" s="1"/>
  <c r="C17" i="27"/>
  <c r="C18" i="27" s="1"/>
  <c r="M13" i="29" l="1"/>
  <c r="D7" i="46"/>
  <c r="E30" i="41"/>
  <c r="C19" i="27"/>
  <c r="E7" i="46" l="1"/>
  <c r="D30" i="41"/>
  <c r="H30" i="41" s="1"/>
  <c r="B31" i="41" s="1"/>
  <c r="E31" i="41" l="1"/>
  <c r="D31" i="41" l="1"/>
  <c r="H31" i="41" s="1"/>
  <c r="B32" i="41" s="1"/>
  <c r="E32" i="41" l="1"/>
  <c r="D32" i="41" l="1"/>
  <c r="H32" i="41" s="1"/>
  <c r="B33" i="41" s="1"/>
  <c r="E33" i="41" l="1"/>
  <c r="D33" i="41" l="1"/>
  <c r="H33" i="41" s="1"/>
  <c r="B34" i="41" s="1"/>
  <c r="E34" i="41" l="1"/>
  <c r="D34" i="41" s="1"/>
  <c r="H34" i="41" s="1"/>
  <c r="B35" i="41" s="1"/>
  <c r="E35" i="41" l="1"/>
  <c r="D35" i="41" s="1"/>
  <c r="H35" i="41" s="1"/>
  <c r="B36" i="41" s="1"/>
  <c r="E36" i="41" l="1"/>
  <c r="D36" i="41" s="1"/>
  <c r="H36" i="41" s="1"/>
  <c r="B37" i="41" s="1"/>
  <c r="E37" i="41" l="1"/>
  <c r="D37" i="41" s="1"/>
  <c r="H37" i="41" s="1"/>
  <c r="B38" i="41" s="1"/>
  <c r="E38" i="41" l="1"/>
  <c r="D38" i="41" s="1"/>
  <c r="H38" i="41" s="1"/>
  <c r="B39" i="41" s="1"/>
  <c r="E39" i="41" l="1"/>
  <c r="D39" i="41" s="1"/>
  <c r="H39" i="41" s="1"/>
  <c r="B40" i="41" s="1"/>
  <c r="E40" i="41" l="1"/>
  <c r="D40" i="41" l="1"/>
  <c r="H40" i="41" s="1"/>
  <c r="C4" i="42"/>
  <c r="B41" i="41" l="1"/>
  <c r="C5" i="42"/>
  <c r="D15" i="27" s="1"/>
  <c r="E43" i="25"/>
  <c r="E46" i="25" s="1"/>
  <c r="E28" i="29"/>
  <c r="E29" i="29" s="1"/>
  <c r="E41" i="41" l="1"/>
  <c r="E6" i="29"/>
  <c r="E15" i="29" s="1"/>
  <c r="E18" i="29" s="1"/>
  <c r="E31" i="29" s="1"/>
  <c r="E35" i="29" s="1"/>
  <c r="E47" i="25"/>
  <c r="D13" i="27"/>
  <c r="D8" i="45" l="1"/>
  <c r="E36" i="29"/>
  <c r="E37" i="29" s="1"/>
  <c r="F33" i="29"/>
  <c r="D17" i="27"/>
  <c r="D18" i="27" s="1"/>
  <c r="D41" i="41"/>
  <c r="H41" i="41" s="1"/>
  <c r="B42" i="41" s="1"/>
  <c r="D19" i="27" l="1"/>
  <c r="E42" i="41"/>
  <c r="D8" i="46"/>
  <c r="D42" i="41" l="1"/>
  <c r="H42" i="41" s="1"/>
  <c r="B43" i="41" s="1"/>
  <c r="E8" i="46"/>
  <c r="E43" i="41" l="1"/>
  <c r="D43" i="41" l="1"/>
  <c r="H43" i="41" s="1"/>
  <c r="B44" i="41" s="1"/>
  <c r="E44" i="41" l="1"/>
  <c r="D44" i="41" l="1"/>
  <c r="H44" i="41" s="1"/>
  <c r="B45" i="41" s="1"/>
  <c r="E45" i="41" l="1"/>
  <c r="D45" i="41" l="1"/>
  <c r="H45" i="41" s="1"/>
  <c r="B46" i="41" s="1"/>
  <c r="E46" i="41" l="1"/>
  <c r="D46" i="41" s="1"/>
  <c r="H46" i="41" s="1"/>
  <c r="B47" i="41" s="1"/>
  <c r="E47" i="41" l="1"/>
  <c r="D47" i="41" s="1"/>
  <c r="H47" i="41" s="1"/>
  <c r="B48" i="41" s="1"/>
  <c r="E48" i="41" l="1"/>
  <c r="D48" i="41" s="1"/>
  <c r="H48" i="41" s="1"/>
  <c r="B49" i="41" s="1"/>
  <c r="E49" i="41" l="1"/>
  <c r="D49" i="41" s="1"/>
  <c r="H49" i="41" s="1"/>
  <c r="B50" i="41" s="1"/>
  <c r="E50" i="41" l="1"/>
  <c r="D50" i="41" s="1"/>
  <c r="H50" i="41" s="1"/>
  <c r="B51" i="41" s="1"/>
  <c r="E51" i="41" l="1"/>
  <c r="D51" i="41" s="1"/>
  <c r="H51" i="41" s="1"/>
  <c r="B52" i="41" s="1"/>
  <c r="E52" i="41" l="1"/>
  <c r="D52" i="41" l="1"/>
  <c r="H52" i="41" s="1"/>
  <c r="D4" i="42"/>
  <c r="F43" i="25" l="1"/>
  <c r="F46" i="25" s="1"/>
  <c r="F28" i="29"/>
  <c r="F29" i="29" s="1"/>
  <c r="B53" i="41"/>
  <c r="D5" i="42"/>
  <c r="E15" i="27" s="1"/>
  <c r="E53" i="41" l="1"/>
  <c r="F6" i="29"/>
  <c r="F15" i="29" s="1"/>
  <c r="F18" i="29" s="1"/>
  <c r="F31" i="29" s="1"/>
  <c r="F35" i="29" s="1"/>
  <c r="F47" i="25"/>
  <c r="E13" i="27"/>
  <c r="G33" i="29" l="1"/>
  <c r="D9" i="45"/>
  <c r="F36" i="29"/>
  <c r="F37" i="29" s="1"/>
  <c r="E17" i="27"/>
  <c r="E18" i="27" s="1"/>
  <c r="D53" i="41"/>
  <c r="H53" i="41" s="1"/>
  <c r="B54" i="41" s="1"/>
  <c r="E19" i="27" l="1"/>
  <c r="D9" i="46"/>
  <c r="E54" i="41"/>
  <c r="D54" i="41" l="1"/>
  <c r="H54" i="41" s="1"/>
  <c r="B55" i="41" s="1"/>
  <c r="E9" i="46"/>
  <c r="E55" i="41" l="1"/>
  <c r="D55" i="41" l="1"/>
  <c r="H55" i="41" s="1"/>
  <c r="B56" i="41" s="1"/>
  <c r="E56" i="41" l="1"/>
  <c r="D56" i="41" l="1"/>
  <c r="H56" i="41" s="1"/>
  <c r="B57" i="41" s="1"/>
  <c r="E57" i="41" l="1"/>
  <c r="D57" i="41" l="1"/>
  <c r="H57" i="41" s="1"/>
  <c r="B58" i="41" s="1"/>
  <c r="E58" i="41" l="1"/>
  <c r="D58" i="41" s="1"/>
  <c r="H58" i="41" s="1"/>
  <c r="B59" i="41" s="1"/>
  <c r="E59" i="41" l="1"/>
  <c r="D59" i="41" s="1"/>
  <c r="H59" i="41" s="1"/>
  <c r="B60" i="41" s="1"/>
  <c r="E60" i="41" l="1"/>
  <c r="D60" i="41" s="1"/>
  <c r="H60" i="41" s="1"/>
  <c r="B61" i="41" s="1"/>
  <c r="E61" i="41" l="1"/>
  <c r="D61" i="41" s="1"/>
  <c r="H61" i="41" s="1"/>
  <c r="B62" i="41" s="1"/>
  <c r="E62" i="41" l="1"/>
  <c r="D62" i="41" s="1"/>
  <c r="H62" i="41" s="1"/>
  <c r="B63" i="41" s="1"/>
  <c r="E63" i="41" l="1"/>
  <c r="D63" i="41" s="1"/>
  <c r="H63" i="41" s="1"/>
  <c r="B64" i="41" s="1"/>
  <c r="E64" i="41" l="1"/>
  <c r="D64" i="41" l="1"/>
  <c r="H64" i="41" s="1"/>
  <c r="E4" i="42"/>
  <c r="G43" i="25" l="1"/>
  <c r="G46" i="25" s="1"/>
  <c r="G28" i="29"/>
  <c r="G29" i="29" s="1"/>
  <c r="B65" i="41"/>
  <c r="E5" i="42"/>
  <c r="F15" i="27" s="1"/>
  <c r="E65" i="41" l="1"/>
  <c r="G6" i="29"/>
  <c r="G15" i="29" s="1"/>
  <c r="G18" i="29" s="1"/>
  <c r="G31" i="29" s="1"/>
  <c r="G35" i="29" s="1"/>
  <c r="G47" i="25"/>
  <c r="F13" i="27"/>
  <c r="H33" i="29" l="1"/>
  <c r="G36" i="29"/>
  <c r="G37" i="29" s="1"/>
  <c r="D10" i="45"/>
  <c r="F17" i="27"/>
  <c r="F18" i="27" s="1"/>
  <c r="F19" i="27" s="1"/>
  <c r="D65" i="41"/>
  <c r="H65" i="41" s="1"/>
  <c r="B66" i="41" s="1"/>
  <c r="E66" i="41" l="1"/>
  <c r="D10" i="46"/>
  <c r="E10" i="46" l="1"/>
  <c r="D66" i="41"/>
  <c r="H66" i="41" s="1"/>
  <c r="B67" i="41" s="1"/>
  <c r="E67" i="41" l="1"/>
  <c r="D67" i="41" l="1"/>
  <c r="H67" i="41" s="1"/>
  <c r="B68" i="41" s="1"/>
  <c r="E68" i="41" l="1"/>
  <c r="D68" i="41" l="1"/>
  <c r="H68" i="41" s="1"/>
  <c r="B69" i="41" s="1"/>
  <c r="E69" i="41" l="1"/>
  <c r="D69" i="41" l="1"/>
  <c r="H69" i="41" s="1"/>
  <c r="B70" i="41" s="1"/>
  <c r="E70" i="41" l="1"/>
  <c r="D70" i="41" s="1"/>
  <c r="H70" i="41" s="1"/>
  <c r="B71" i="41" s="1"/>
  <c r="E71" i="41" l="1"/>
  <c r="D71" i="41" s="1"/>
  <c r="H71" i="41" s="1"/>
  <c r="B72" i="41" s="1"/>
  <c r="E72" i="41" l="1"/>
  <c r="D72" i="41" s="1"/>
  <c r="H72" i="41" s="1"/>
  <c r="B73" i="41" s="1"/>
  <c r="E73" i="41" l="1"/>
  <c r="D73" i="41" s="1"/>
  <c r="H73" i="41" s="1"/>
  <c r="B74" i="41" s="1"/>
  <c r="E74" i="41" l="1"/>
  <c r="D74" i="41" s="1"/>
  <c r="H74" i="41" s="1"/>
  <c r="B75" i="41" s="1"/>
  <c r="E75" i="41" l="1"/>
  <c r="D75" i="41" s="1"/>
  <c r="H75" i="41" s="1"/>
  <c r="B76" i="41" s="1"/>
  <c r="E76" i="41" l="1"/>
  <c r="D76" i="41" l="1"/>
  <c r="H76" i="41" s="1"/>
  <c r="F4" i="42"/>
  <c r="H43" i="25" l="1"/>
  <c r="H46" i="25" s="1"/>
  <c r="H28" i="29"/>
  <c r="H29" i="29" s="1"/>
  <c r="F5" i="42"/>
  <c r="G15" i="27" s="1"/>
  <c r="B77" i="41"/>
  <c r="H6" i="29" l="1"/>
  <c r="H15" i="29" s="1"/>
  <c r="H18" i="29" s="1"/>
  <c r="H31" i="29" s="1"/>
  <c r="H35" i="29" s="1"/>
  <c r="H47" i="25"/>
  <c r="G13" i="27"/>
  <c r="E77" i="41"/>
  <c r="D11" i="45" l="1"/>
  <c r="D11" i="46" s="1"/>
  <c r="I33" i="29"/>
  <c r="H36" i="29"/>
  <c r="H37" i="29" s="1"/>
  <c r="G17" i="27"/>
  <c r="G18" i="27" s="1"/>
  <c r="G19" i="27" s="1"/>
  <c r="D77" i="41"/>
  <c r="H77" i="41" s="1"/>
  <c r="B78" i="41" s="1"/>
  <c r="E11" i="46" l="1"/>
  <c r="E78" i="41"/>
  <c r="D78" i="41" l="1"/>
  <c r="H78" i="41" s="1"/>
  <c r="B79" i="41" s="1"/>
  <c r="E79" i="41" l="1"/>
  <c r="D79" i="41" l="1"/>
  <c r="H79" i="41" s="1"/>
  <c r="B80" i="41" s="1"/>
  <c r="E80" i="41" l="1"/>
  <c r="D80" i="41" l="1"/>
  <c r="H80" i="41" s="1"/>
  <c r="B81" i="41" s="1"/>
  <c r="E81" i="41" l="1"/>
  <c r="D81" i="41" l="1"/>
  <c r="H81" i="41" s="1"/>
  <c r="B82" i="41" s="1"/>
  <c r="E82" i="41" l="1"/>
  <c r="D82" i="41" s="1"/>
  <c r="H82" i="41" s="1"/>
  <c r="B83" i="41" s="1"/>
  <c r="E83" i="41" l="1"/>
  <c r="D83" i="41" s="1"/>
  <c r="H83" i="41" s="1"/>
  <c r="B84" i="41" s="1"/>
  <c r="E84" i="41" l="1"/>
  <c r="D84" i="41" s="1"/>
  <c r="H84" i="41" s="1"/>
  <c r="B85" i="41" s="1"/>
  <c r="E85" i="41" l="1"/>
  <c r="D85" i="41" s="1"/>
  <c r="H85" i="41" s="1"/>
  <c r="B86" i="41" s="1"/>
  <c r="E86" i="41" l="1"/>
  <c r="D86" i="41" s="1"/>
  <c r="H86" i="41" s="1"/>
  <c r="B87" i="41" s="1"/>
  <c r="E87" i="41" l="1"/>
  <c r="D87" i="41" s="1"/>
  <c r="H87" i="41" s="1"/>
  <c r="B88" i="41" s="1"/>
  <c r="E88" i="41" l="1"/>
  <c r="D88" i="41" l="1"/>
  <c r="H88" i="41" s="1"/>
  <c r="G4" i="42"/>
  <c r="I43" i="25" l="1"/>
  <c r="I46" i="25" s="1"/>
  <c r="I28" i="29"/>
  <c r="I29" i="29" s="1"/>
  <c r="B89" i="41"/>
  <c r="G5" i="42"/>
  <c r="H15" i="27" s="1"/>
  <c r="E89" i="41" l="1"/>
  <c r="I47" i="25"/>
  <c r="I6" i="29"/>
  <c r="I15" i="29" s="1"/>
  <c r="I18" i="29" s="1"/>
  <c r="I31" i="29" s="1"/>
  <c r="I35" i="29" s="1"/>
  <c r="H13" i="27"/>
  <c r="D12" i="45" l="1"/>
  <c r="D12" i="46" s="1"/>
  <c r="I36" i="29"/>
  <c r="I37" i="29" s="1"/>
  <c r="J33" i="29"/>
  <c r="H17" i="27"/>
  <c r="H18" i="27" s="1"/>
  <c r="H19" i="27" s="1"/>
  <c r="D89" i="41"/>
  <c r="H89" i="41" s="1"/>
  <c r="B90" i="41" s="1"/>
  <c r="E90" i="41" l="1"/>
  <c r="E12" i="46"/>
  <c r="D90" i="41" l="1"/>
  <c r="H90" i="41" s="1"/>
  <c r="B91" i="41" s="1"/>
  <c r="E91" i="41" l="1"/>
  <c r="D91" i="41" l="1"/>
  <c r="H91" i="41" s="1"/>
  <c r="B92" i="41" s="1"/>
  <c r="E92" i="41" l="1"/>
  <c r="D92" i="41" l="1"/>
  <c r="H92" i="41" s="1"/>
  <c r="B93" i="41" s="1"/>
  <c r="E93" i="41" l="1"/>
  <c r="D93" i="41" l="1"/>
  <c r="H93" i="41" s="1"/>
  <c r="B94" i="41" s="1"/>
  <c r="E94" i="41" l="1"/>
  <c r="D94" i="41" s="1"/>
  <c r="H94" i="41" s="1"/>
  <c r="B95" i="41" s="1"/>
  <c r="E95" i="41" l="1"/>
  <c r="D95" i="41" s="1"/>
  <c r="H95" i="41" s="1"/>
  <c r="B96" i="41" s="1"/>
  <c r="E96" i="41" l="1"/>
  <c r="D96" i="41" s="1"/>
  <c r="H96" i="41" s="1"/>
  <c r="B97" i="41" s="1"/>
  <c r="E97" i="41" l="1"/>
  <c r="D97" i="41" s="1"/>
  <c r="H97" i="41" s="1"/>
  <c r="B98" i="41" s="1"/>
  <c r="E98" i="41" l="1"/>
  <c r="D98" i="41" s="1"/>
  <c r="H98" i="41" s="1"/>
  <c r="B99" i="41" s="1"/>
  <c r="E99" i="41" l="1"/>
  <c r="D99" i="41" s="1"/>
  <c r="H99" i="41" s="1"/>
  <c r="B100" i="41" s="1"/>
  <c r="E100" i="41" l="1"/>
  <c r="D100" i="41" l="1"/>
  <c r="H100" i="41" s="1"/>
  <c r="H4" i="42"/>
  <c r="J43" i="25" l="1"/>
  <c r="J46" i="25" s="1"/>
  <c r="J28" i="29"/>
  <c r="J29" i="29" s="1"/>
  <c r="B101" i="41"/>
  <c r="H5" i="42"/>
  <c r="I15" i="27" s="1"/>
  <c r="J6" i="29" l="1"/>
  <c r="J15" i="29" s="1"/>
  <c r="J18" i="29" s="1"/>
  <c r="J31" i="29" s="1"/>
  <c r="J35" i="29" s="1"/>
  <c r="J47" i="25"/>
  <c r="I13" i="27"/>
  <c r="E101" i="41"/>
  <c r="D13" i="45" l="1"/>
  <c r="D13" i="46" s="1"/>
  <c r="J36" i="29"/>
  <c r="J37" i="29" s="1"/>
  <c r="K33" i="29"/>
  <c r="I17" i="27"/>
  <c r="I18" i="27" s="1"/>
  <c r="I19" i="27" s="1"/>
  <c r="D101" i="41"/>
  <c r="H101" i="41" s="1"/>
  <c r="B102" i="41" s="1"/>
  <c r="E13" i="46" l="1"/>
  <c r="E102" i="41"/>
  <c r="D102" i="41" l="1"/>
  <c r="H102" i="41" s="1"/>
  <c r="B103" i="41" s="1"/>
  <c r="E103" i="41" l="1"/>
  <c r="D103" i="41" l="1"/>
  <c r="H103" i="41" s="1"/>
  <c r="B104" i="41" s="1"/>
  <c r="E104" i="41" l="1"/>
  <c r="D104" i="41" l="1"/>
  <c r="H104" i="41" s="1"/>
  <c r="B105" i="41" s="1"/>
  <c r="E105" i="41" l="1"/>
  <c r="D105" i="41" l="1"/>
  <c r="H105" i="41" s="1"/>
  <c r="B106" i="41" s="1"/>
  <c r="E106" i="41" l="1"/>
  <c r="D106" i="41" s="1"/>
  <c r="H106" i="41" s="1"/>
  <c r="B107" i="41" s="1"/>
  <c r="E107" i="41" l="1"/>
  <c r="D107" i="41" s="1"/>
  <c r="H107" i="41" s="1"/>
  <c r="B108" i="41" s="1"/>
  <c r="E108" i="41" l="1"/>
  <c r="D108" i="41" s="1"/>
  <c r="H108" i="41" s="1"/>
  <c r="B109" i="41" s="1"/>
  <c r="E109" i="41" l="1"/>
  <c r="D109" i="41" s="1"/>
  <c r="H109" i="41" s="1"/>
  <c r="B110" i="41" s="1"/>
  <c r="E110" i="41" l="1"/>
  <c r="D110" i="41" s="1"/>
  <c r="H110" i="41" s="1"/>
  <c r="B111" i="41" s="1"/>
  <c r="E111" i="41" l="1"/>
  <c r="D111" i="41" s="1"/>
  <c r="H111" i="41" s="1"/>
  <c r="B112" i="41" s="1"/>
  <c r="E112" i="41" l="1"/>
  <c r="D112" i="41" l="1"/>
  <c r="H112" i="41" s="1"/>
  <c r="I4" i="42"/>
  <c r="K43" i="25" l="1"/>
  <c r="K46" i="25" s="1"/>
  <c r="K28" i="29"/>
  <c r="K29" i="29" s="1"/>
  <c r="B113" i="41"/>
  <c r="I5" i="42"/>
  <c r="J15" i="27" s="1"/>
  <c r="E113" i="41" l="1"/>
  <c r="K6" i="29"/>
  <c r="K15" i="29" s="1"/>
  <c r="K18" i="29" s="1"/>
  <c r="K31" i="29" s="1"/>
  <c r="K35" i="29" s="1"/>
  <c r="K47" i="25"/>
  <c r="J13" i="27"/>
  <c r="D14" i="45" l="1"/>
  <c r="D14" i="46" s="1"/>
  <c r="K36" i="29"/>
  <c r="K37" i="29" s="1"/>
  <c r="L33" i="29"/>
  <c r="J17" i="27"/>
  <c r="J18" i="27" s="1"/>
  <c r="J19" i="27" s="1"/>
  <c r="D113" i="41"/>
  <c r="H113" i="41" s="1"/>
  <c r="B114" i="41" s="1"/>
  <c r="E114" i="41" l="1"/>
  <c r="E14" i="46"/>
  <c r="D114" i="41" l="1"/>
  <c r="H114" i="41" s="1"/>
  <c r="B115" i="41" s="1"/>
  <c r="E115" i="41" l="1"/>
  <c r="D115" i="41" l="1"/>
  <c r="H115" i="41" s="1"/>
  <c r="B116" i="41" s="1"/>
  <c r="E116" i="41" l="1"/>
  <c r="D116" i="41" l="1"/>
  <c r="H116" i="41" s="1"/>
  <c r="B117" i="41" s="1"/>
  <c r="E117" i="41" l="1"/>
  <c r="D117" i="41" l="1"/>
  <c r="H117" i="41" s="1"/>
  <c r="B118" i="41" s="1"/>
  <c r="E118" i="41" l="1"/>
  <c r="D118" i="41" s="1"/>
  <c r="H118" i="41" s="1"/>
  <c r="B119" i="41" s="1"/>
  <c r="E119" i="41" l="1"/>
  <c r="D119" i="41" s="1"/>
  <c r="H119" i="41" s="1"/>
  <c r="B120" i="41" s="1"/>
  <c r="E120" i="41" l="1"/>
  <c r="D120" i="41" s="1"/>
  <c r="H120" i="41" s="1"/>
  <c r="B121" i="41" s="1"/>
  <c r="E121" i="41" l="1"/>
  <c r="D121" i="41" s="1"/>
  <c r="H121" i="41" s="1"/>
  <c r="B122" i="41" s="1"/>
  <c r="E122" i="41" l="1"/>
  <c r="D122" i="41" s="1"/>
  <c r="H122" i="41" s="1"/>
  <c r="B123" i="41" s="1"/>
  <c r="E123" i="41" l="1"/>
  <c r="D123" i="41" s="1"/>
  <c r="H123" i="41" s="1"/>
  <c r="B124" i="41" s="1"/>
  <c r="E124" i="41" l="1"/>
  <c r="D124" i="41" l="1"/>
  <c r="H124" i="41" s="1"/>
  <c r="J4" i="42"/>
  <c r="L43" i="25" l="1"/>
  <c r="L46" i="25" s="1"/>
  <c r="L28" i="29"/>
  <c r="L29" i="29" s="1"/>
  <c r="B125" i="41"/>
  <c r="J5" i="42"/>
  <c r="K15" i="27" s="1"/>
  <c r="L6" i="29" l="1"/>
  <c r="L15" i="29" s="1"/>
  <c r="L18" i="29" s="1"/>
  <c r="L31" i="29" s="1"/>
  <c r="L35" i="29" s="1"/>
  <c r="L47" i="25"/>
  <c r="K13" i="27"/>
  <c r="E125" i="41"/>
  <c r="D15" i="45" l="1"/>
  <c r="D15" i="46" s="1"/>
  <c r="M33" i="29"/>
  <c r="L36" i="29"/>
  <c r="L37" i="29" s="1"/>
  <c r="K17" i="27"/>
  <c r="K18" i="27" s="1"/>
  <c r="K19" i="27" s="1"/>
  <c r="D125" i="41"/>
  <c r="H125" i="41" s="1"/>
  <c r="B126" i="41" s="1"/>
  <c r="E126" i="41" l="1"/>
  <c r="E15" i="46"/>
  <c r="D126" i="41" l="1"/>
  <c r="H126" i="41" s="1"/>
  <c r="B127" i="41" s="1"/>
  <c r="E127" i="41" l="1"/>
  <c r="D127" i="41" l="1"/>
  <c r="H127" i="41" s="1"/>
  <c r="B128" i="41" s="1"/>
  <c r="E128" i="41" l="1"/>
  <c r="D128" i="41" l="1"/>
  <c r="H128" i="41" s="1"/>
  <c r="B129" i="41" s="1"/>
  <c r="E129" i="41" l="1"/>
  <c r="D129" i="41" l="1"/>
  <c r="H129" i="41" s="1"/>
  <c r="B130" i="41" s="1"/>
  <c r="E130" i="41" l="1"/>
  <c r="D130" i="41" s="1"/>
  <c r="H130" i="41" s="1"/>
  <c r="B131" i="41" s="1"/>
  <c r="E131" i="41" l="1"/>
  <c r="D131" i="41" s="1"/>
  <c r="H131" i="41" s="1"/>
  <c r="B132" i="41" s="1"/>
  <c r="E132" i="41" l="1"/>
  <c r="D132" i="41" s="1"/>
  <c r="H132" i="41" s="1"/>
  <c r="B133" i="41" s="1"/>
  <c r="E133" i="41" l="1"/>
  <c r="D133" i="41" s="1"/>
  <c r="H133" i="41" s="1"/>
  <c r="B134" i="41" s="1"/>
  <c r="E134" i="41" l="1"/>
  <c r="D134" i="41" s="1"/>
  <c r="H134" i="41" s="1"/>
  <c r="B135" i="41" s="1"/>
  <c r="E135" i="41" l="1"/>
  <c r="D135" i="41" s="1"/>
  <c r="H135" i="41" s="1"/>
  <c r="B136" i="41" s="1"/>
  <c r="E136" i="41" l="1"/>
  <c r="D136" i="41" l="1"/>
  <c r="H136" i="41" s="1"/>
  <c r="K4" i="42"/>
  <c r="M43" i="25" l="1"/>
  <c r="M46" i="25" s="1"/>
  <c r="M28" i="29"/>
  <c r="M29" i="29" s="1"/>
  <c r="K5" i="42"/>
  <c r="L15" i="27" s="1"/>
  <c r="B137" i="41"/>
  <c r="E137" i="41" l="1"/>
  <c r="M47" i="25"/>
  <c r="M6" i="29"/>
  <c r="M15" i="29" s="1"/>
  <c r="M18" i="29" s="1"/>
  <c r="M31" i="29" s="1"/>
  <c r="M35" i="29" s="1"/>
  <c r="L13" i="27"/>
  <c r="L17" i="27" s="1"/>
  <c r="L18" i="27" s="1"/>
  <c r="D16" i="45" l="1"/>
  <c r="M36" i="29"/>
  <c r="M37" i="29" s="1"/>
  <c r="L19" i="27"/>
  <c r="D137" i="41"/>
  <c r="H137" i="41" s="1"/>
  <c r="B138" i="41" s="1"/>
  <c r="D16" i="46" l="1"/>
  <c r="D18" i="45"/>
  <c r="D20" i="45" s="1"/>
  <c r="E138" i="41"/>
  <c r="D138" i="41" l="1"/>
  <c r="H138" i="41" s="1"/>
  <c r="B139" i="41" s="1"/>
  <c r="E16" i="46"/>
  <c r="D18" i="46" s="1"/>
  <c r="D20" i="46"/>
  <c r="E139" i="41" l="1"/>
  <c r="D139" i="41" l="1"/>
  <c r="H139" i="41" s="1"/>
  <c r="B140" i="41" s="1"/>
  <c r="E140" i="41" l="1"/>
  <c r="D140" i="41" l="1"/>
  <c r="H140" i="41" s="1"/>
  <c r="B141" i="41" s="1"/>
  <c r="E141" i="41" l="1"/>
  <c r="D141" i="41" l="1"/>
  <c r="H141" i="41" s="1"/>
  <c r="B142" i="41" s="1"/>
  <c r="E142" i="41" l="1"/>
  <c r="D142" i="41" s="1"/>
  <c r="H142" i="41" s="1"/>
  <c r="B143" i="41" s="1"/>
  <c r="E143" i="41" l="1"/>
  <c r="D143" i="41" s="1"/>
  <c r="H143" i="41" s="1"/>
  <c r="B144" i="41" s="1"/>
  <c r="E144" i="41" l="1"/>
  <c r="D144" i="41" s="1"/>
  <c r="H144" i="41" s="1"/>
  <c r="B145" i="41" s="1"/>
  <c r="E145" i="41" l="1"/>
  <c r="D145" i="41" s="1"/>
  <c r="H145" i="41" s="1"/>
  <c r="B146" i="41" s="1"/>
  <c r="E146" i="41" l="1"/>
  <c r="D146" i="41" s="1"/>
  <c r="H146" i="41" s="1"/>
  <c r="B147" i="41" s="1"/>
  <c r="E147" i="41" l="1"/>
  <c r="D147" i="41" s="1"/>
  <c r="H147" i="41" s="1"/>
  <c r="B148" i="41" s="1"/>
  <c r="E148" i="41" l="1"/>
  <c r="D148" i="41" l="1"/>
  <c r="H148" i="41" s="1"/>
  <c r="L4" i="42"/>
  <c r="B149" i="41" l="1"/>
  <c r="L5" i="42"/>
  <c r="E149" i="41" l="1"/>
  <c r="D149" i="41" l="1"/>
  <c r="H149" i="41" s="1"/>
  <c r="B150" i="41" s="1"/>
  <c r="E150" i="41" l="1"/>
  <c r="D150" i="41" l="1"/>
  <c r="H150" i="41" s="1"/>
  <c r="B151" i="41" s="1"/>
  <c r="E151" i="41" l="1"/>
  <c r="D151" i="41" l="1"/>
  <c r="H151" i="41" s="1"/>
  <c r="B152" i="41" s="1"/>
  <c r="E152" i="41" l="1"/>
  <c r="D152" i="41" l="1"/>
  <c r="H152" i="41" s="1"/>
  <c r="B153" i="41" s="1"/>
  <c r="E153" i="41" l="1"/>
  <c r="D153" i="41" l="1"/>
  <c r="H153" i="41" s="1"/>
  <c r="B154" i="41" s="1"/>
  <c r="E154" i="41" l="1"/>
  <c r="D154" i="41" s="1"/>
  <c r="H154" i="41" s="1"/>
  <c r="B155" i="41" s="1"/>
  <c r="E155" i="41" l="1"/>
  <c r="D155" i="41" s="1"/>
  <c r="H155" i="41" s="1"/>
  <c r="B156" i="41" s="1"/>
  <c r="E156" i="41" l="1"/>
  <c r="D156" i="41" s="1"/>
  <c r="H156" i="41" s="1"/>
  <c r="B157" i="41" s="1"/>
  <c r="E157" i="41" l="1"/>
  <c r="D157" i="41" s="1"/>
  <c r="H157" i="41" s="1"/>
  <c r="B158" i="41" s="1"/>
  <c r="E158" i="41" l="1"/>
  <c r="D158" i="41" s="1"/>
  <c r="H158" i="41" s="1"/>
  <c r="B159" i="41" s="1"/>
  <c r="E159" i="41" l="1"/>
  <c r="D159" i="41" s="1"/>
  <c r="H159" i="41" s="1"/>
  <c r="B160" i="41" s="1"/>
  <c r="E160" i="41" l="1"/>
  <c r="D160" i="41" l="1"/>
  <c r="H160" i="41" s="1"/>
  <c r="M4" i="42"/>
  <c r="B161" i="41" l="1"/>
  <c r="M5" i="42"/>
  <c r="E161" i="41" l="1"/>
  <c r="D161" i="41" l="1"/>
  <c r="H161" i="41" s="1"/>
  <c r="B162" i="41" s="1"/>
  <c r="E162" i="41" l="1"/>
  <c r="D162" i="41" l="1"/>
  <c r="H162" i="41" s="1"/>
  <c r="B163" i="41" s="1"/>
  <c r="E163" i="41" l="1"/>
  <c r="D163" i="41" l="1"/>
  <c r="H163" i="41" s="1"/>
  <c r="B164" i="41" s="1"/>
  <c r="E164" i="41" l="1"/>
  <c r="D164" i="41" l="1"/>
  <c r="H164" i="41" s="1"/>
  <c r="B165" i="41" s="1"/>
  <c r="E165" i="41" l="1"/>
  <c r="D165" i="41" l="1"/>
  <c r="H165" i="41" s="1"/>
  <c r="B166" i="41" s="1"/>
  <c r="E166" i="41" l="1"/>
  <c r="D166" i="41" s="1"/>
  <c r="H166" i="41" s="1"/>
  <c r="B167" i="41" s="1"/>
  <c r="E167" i="41" l="1"/>
  <c r="D167" i="41" s="1"/>
  <c r="H167" i="41" s="1"/>
  <c r="B168" i="41" s="1"/>
  <c r="E168" i="41" l="1"/>
  <c r="D168" i="41" s="1"/>
  <c r="H168" i="41" s="1"/>
  <c r="B169" i="41" s="1"/>
  <c r="E169" i="41" l="1"/>
  <c r="D169" i="41" s="1"/>
  <c r="H169" i="41" s="1"/>
  <c r="B170" i="41" s="1"/>
  <c r="E170" i="41" l="1"/>
  <c r="D170" i="41" s="1"/>
  <c r="H170" i="41" s="1"/>
  <c r="B171" i="41" s="1"/>
  <c r="E171" i="41" l="1"/>
  <c r="D171" i="41" s="1"/>
  <c r="H171" i="41" s="1"/>
  <c r="B172" i="41" s="1"/>
  <c r="E172" i="41" l="1"/>
  <c r="D172" i="41" l="1"/>
  <c r="H172" i="41" s="1"/>
  <c r="N4" i="42"/>
  <c r="B173" i="41" l="1"/>
  <c r="N5" i="42"/>
  <c r="E173" i="41" l="1"/>
  <c r="D173" i="41" l="1"/>
  <c r="H173" i="41" s="1"/>
  <c r="B174" i="41" s="1"/>
  <c r="E174" i="41" l="1"/>
  <c r="D174" i="41" l="1"/>
  <c r="H174" i="41" s="1"/>
  <c r="B175" i="41" s="1"/>
  <c r="E175" i="41" l="1"/>
  <c r="D175" i="41" l="1"/>
  <c r="H175" i="41" s="1"/>
  <c r="B176" i="41" s="1"/>
  <c r="E176" i="41" l="1"/>
  <c r="D176" i="41" l="1"/>
  <c r="H176" i="41" s="1"/>
  <c r="B177" i="41" s="1"/>
  <c r="E177" i="41" l="1"/>
  <c r="D177" i="41" l="1"/>
  <c r="H177" i="41" s="1"/>
  <c r="B178" i="41" s="1"/>
  <c r="E178" i="41" l="1"/>
  <c r="D178" i="41" s="1"/>
  <c r="H178" i="41" s="1"/>
  <c r="B179" i="41" s="1"/>
  <c r="E179" i="41" l="1"/>
  <c r="D179" i="41" s="1"/>
  <c r="H179" i="41" s="1"/>
  <c r="B180" i="41" s="1"/>
  <c r="E180" i="41" l="1"/>
  <c r="D180" i="41" s="1"/>
  <c r="H180" i="41" s="1"/>
  <c r="B181" i="41" s="1"/>
  <c r="E181" i="41" l="1"/>
  <c r="D181" i="41" s="1"/>
  <c r="H181" i="41" s="1"/>
  <c r="B182" i="41" s="1"/>
  <c r="E182" i="41" l="1"/>
  <c r="D182" i="41" s="1"/>
  <c r="H182" i="41" s="1"/>
  <c r="B183" i="41" s="1"/>
  <c r="E183" i="41" l="1"/>
  <c r="D183" i="41" s="1"/>
  <c r="H183" i="41" s="1"/>
  <c r="B184" i="41" s="1"/>
  <c r="E184" i="41" l="1"/>
  <c r="D184" i="41" l="1"/>
  <c r="H184" i="41" s="1"/>
  <c r="O4" i="42"/>
  <c r="B185" i="41" l="1"/>
  <c r="O5" i="42"/>
  <c r="E185" i="41" l="1"/>
  <c r="D185" i="41" l="1"/>
  <c r="H185" i="41" s="1"/>
  <c r="B186" i="41" s="1"/>
  <c r="E186" i="41" l="1"/>
  <c r="D186" i="41" l="1"/>
  <c r="H186" i="41" s="1"/>
  <c r="B187" i="41" s="1"/>
  <c r="E187" i="41" l="1"/>
  <c r="D187" i="41" l="1"/>
  <c r="H187" i="41" s="1"/>
  <c r="B188" i="41" s="1"/>
  <c r="E188" i="41" l="1"/>
  <c r="D188" i="41" l="1"/>
  <c r="H188" i="41" s="1"/>
  <c r="B189" i="41" s="1"/>
  <c r="E189" i="41" l="1"/>
  <c r="D189" i="41" l="1"/>
  <c r="H189" i="41" s="1"/>
  <c r="B190" i="41" s="1"/>
  <c r="E190" i="41" l="1"/>
  <c r="D190" i="41" s="1"/>
  <c r="H190" i="41" s="1"/>
  <c r="B191" i="41" s="1"/>
  <c r="E191" i="41" l="1"/>
  <c r="D191" i="41" s="1"/>
  <c r="H191" i="41" s="1"/>
  <c r="B192" i="41" s="1"/>
  <c r="E192" i="41" l="1"/>
  <c r="D192" i="41" s="1"/>
  <c r="H192" i="41" s="1"/>
  <c r="B193" i="41" s="1"/>
  <c r="E193" i="41" l="1"/>
  <c r="D193" i="41" s="1"/>
  <c r="H193" i="41" s="1"/>
  <c r="B194" i="41" s="1"/>
  <c r="E194" i="41" l="1"/>
  <c r="D194" i="41" s="1"/>
  <c r="H194" i="41" s="1"/>
  <c r="B195" i="41" s="1"/>
  <c r="E195" i="41" l="1"/>
  <c r="D195" i="41" s="1"/>
  <c r="H195" i="41" s="1"/>
  <c r="B196" i="41" s="1"/>
  <c r="E196" i="41" l="1"/>
  <c r="D196" i="41" l="1"/>
  <c r="H196" i="41" s="1"/>
  <c r="P4" i="42"/>
  <c r="B197" i="41" l="1"/>
  <c r="P5" i="42"/>
  <c r="E197" i="41" l="1"/>
  <c r="D197" i="41" l="1"/>
  <c r="H197" i="41" s="1"/>
  <c r="B198" i="41" s="1"/>
  <c r="E198" i="41" l="1"/>
  <c r="D198" i="41" l="1"/>
  <c r="H198" i="41" s="1"/>
  <c r="B199" i="41" s="1"/>
  <c r="E199" i="41" l="1"/>
  <c r="D199" i="41" l="1"/>
  <c r="H199" i="41" s="1"/>
  <c r="B200" i="41" s="1"/>
  <c r="E200" i="41" l="1"/>
  <c r="D200" i="41" l="1"/>
  <c r="H200" i="41" s="1"/>
  <c r="B201" i="41" s="1"/>
  <c r="E201" i="41" l="1"/>
  <c r="D201" i="41" l="1"/>
  <c r="H201" i="41" s="1"/>
  <c r="B202" i="41" s="1"/>
  <c r="E202" i="41" l="1"/>
  <c r="D202" i="41" s="1"/>
  <c r="H202" i="41" s="1"/>
  <c r="B203" i="41" s="1"/>
  <c r="E203" i="41" l="1"/>
  <c r="D203" i="41" s="1"/>
  <c r="H203" i="41" s="1"/>
  <c r="B204" i="41" s="1"/>
  <c r="E204" i="41" l="1"/>
  <c r="D204" i="41" s="1"/>
  <c r="H204" i="41" s="1"/>
  <c r="B205" i="41" s="1"/>
  <c r="E205" i="41" l="1"/>
  <c r="D205" i="41" s="1"/>
  <c r="H205" i="41" s="1"/>
  <c r="B206" i="41" s="1"/>
  <c r="E206" i="41" l="1"/>
  <c r="D206" i="41" s="1"/>
  <c r="H206" i="41" s="1"/>
  <c r="B207" i="41" s="1"/>
  <c r="E207" i="41" l="1"/>
  <c r="D207" i="41" s="1"/>
  <c r="H207" i="41" s="1"/>
  <c r="B208" i="41" s="1"/>
  <c r="E208" i="41" l="1"/>
  <c r="D208" i="41" l="1"/>
  <c r="H208" i="41" s="1"/>
  <c r="Q4" i="42"/>
  <c r="B209" i="41" l="1"/>
  <c r="Q5" i="42"/>
  <c r="E209" i="41" l="1"/>
  <c r="D209" i="41" l="1"/>
  <c r="H209" i="41" s="1"/>
  <c r="B210" i="41" s="1"/>
  <c r="E210" i="41" l="1"/>
  <c r="D210" i="41" l="1"/>
  <c r="H210" i="41" s="1"/>
  <c r="B211" i="41" s="1"/>
  <c r="E211" i="41" l="1"/>
  <c r="D211" i="41" l="1"/>
  <c r="H211" i="41" s="1"/>
  <c r="B212" i="41" s="1"/>
  <c r="E212" i="41" l="1"/>
  <c r="D212" i="41" l="1"/>
  <c r="H212" i="41" s="1"/>
  <c r="B213" i="41" s="1"/>
  <c r="E213" i="41" l="1"/>
  <c r="D213" i="41" l="1"/>
  <c r="H213" i="41" s="1"/>
  <c r="B214" i="41" s="1"/>
  <c r="E214" i="41" l="1"/>
  <c r="D214" i="41" s="1"/>
  <c r="H214" i="41" s="1"/>
  <c r="B215" i="41" s="1"/>
  <c r="E215" i="41" l="1"/>
  <c r="D215" i="41" s="1"/>
  <c r="H215" i="41" s="1"/>
  <c r="B216" i="41" s="1"/>
  <c r="E216" i="41" l="1"/>
  <c r="D216" i="41" s="1"/>
  <c r="H216" i="41" s="1"/>
  <c r="B217" i="41" s="1"/>
  <c r="E217" i="41" l="1"/>
  <c r="D217" i="41" s="1"/>
  <c r="H217" i="41" s="1"/>
  <c r="B218" i="41" s="1"/>
  <c r="E218" i="41" l="1"/>
  <c r="D218" i="41" s="1"/>
  <c r="H218" i="41" s="1"/>
  <c r="B219" i="41" s="1"/>
  <c r="E219" i="41" l="1"/>
  <c r="D219" i="41" s="1"/>
  <c r="H219" i="41" s="1"/>
  <c r="B220" i="41" s="1"/>
  <c r="E220" i="41" l="1"/>
  <c r="D220" i="41" l="1"/>
  <c r="H220" i="41" s="1"/>
  <c r="R4" i="42"/>
  <c r="B221" i="41" l="1"/>
  <c r="R5" i="42"/>
  <c r="E221" i="41" l="1"/>
  <c r="D221" i="41" l="1"/>
  <c r="H221" i="41" s="1"/>
  <c r="B222" i="41" s="1"/>
  <c r="E222" i="41" l="1"/>
  <c r="D222" i="41" l="1"/>
  <c r="H222" i="41" s="1"/>
  <c r="B223" i="41" s="1"/>
  <c r="E223" i="41" l="1"/>
  <c r="D223" i="41" l="1"/>
  <c r="H223" i="41" s="1"/>
  <c r="B224" i="41" s="1"/>
  <c r="E224" i="41" l="1"/>
  <c r="D224" i="41" l="1"/>
  <c r="H224" i="41" s="1"/>
  <c r="B225" i="41" s="1"/>
  <c r="E225" i="41" l="1"/>
  <c r="D225" i="41" l="1"/>
  <c r="H225" i="41" s="1"/>
  <c r="B226" i="41" s="1"/>
  <c r="E226" i="41" l="1"/>
  <c r="D226" i="41" s="1"/>
  <c r="H226" i="41" s="1"/>
  <c r="B227" i="41" s="1"/>
  <c r="E227" i="41" l="1"/>
  <c r="D227" i="41" s="1"/>
  <c r="H227" i="41" s="1"/>
  <c r="B228" i="41" s="1"/>
  <c r="E228" i="41" l="1"/>
  <c r="D228" i="41" s="1"/>
  <c r="H228" i="41" s="1"/>
  <c r="B229" i="41" s="1"/>
  <c r="E229" i="41" l="1"/>
  <c r="D229" i="41" s="1"/>
  <c r="H229" i="41" s="1"/>
  <c r="B230" i="41" s="1"/>
  <c r="E230" i="41" l="1"/>
  <c r="D230" i="41" s="1"/>
  <c r="H230" i="41" s="1"/>
  <c r="B231" i="41" s="1"/>
  <c r="E231" i="41" l="1"/>
  <c r="D231" i="41" s="1"/>
  <c r="H231" i="41" s="1"/>
  <c r="B232" i="41" s="1"/>
  <c r="E232" i="41" l="1"/>
  <c r="D232" i="41" l="1"/>
  <c r="H232" i="41" s="1"/>
  <c r="S4" i="42"/>
  <c r="B233" i="41" l="1"/>
  <c r="S5" i="42"/>
  <c r="E233" i="41" l="1"/>
  <c r="D233" i="41" l="1"/>
  <c r="H233" i="41" s="1"/>
  <c r="B234" i="41" s="1"/>
  <c r="E234" i="41" l="1"/>
  <c r="D234" i="41" l="1"/>
  <c r="H234" i="41" s="1"/>
  <c r="B235" i="41" s="1"/>
  <c r="E235" i="41" l="1"/>
  <c r="D235" i="41" l="1"/>
  <c r="H235" i="41" s="1"/>
  <c r="B236" i="41" s="1"/>
  <c r="E236" i="41" l="1"/>
  <c r="D236" i="41" l="1"/>
  <c r="H236" i="41" s="1"/>
  <c r="B237" i="41" s="1"/>
  <c r="E237" i="41" l="1"/>
  <c r="D237" i="41" l="1"/>
  <c r="H237" i="41" s="1"/>
  <c r="B238" i="41" s="1"/>
  <c r="E238" i="41" l="1"/>
  <c r="D238" i="41" s="1"/>
  <c r="H238" i="41" s="1"/>
  <c r="B239" i="41" s="1"/>
  <c r="E239" i="41" l="1"/>
  <c r="D239" i="41" s="1"/>
  <c r="H239" i="41" s="1"/>
  <c r="B240" i="41" s="1"/>
  <c r="E240" i="41" l="1"/>
  <c r="D240" i="41" s="1"/>
  <c r="H240" i="41" s="1"/>
  <c r="B241" i="41" s="1"/>
  <c r="E241" i="41" l="1"/>
  <c r="D241" i="41" s="1"/>
  <c r="H241" i="41" s="1"/>
  <c r="B242" i="41" s="1"/>
  <c r="E242" i="41" l="1"/>
  <c r="D242" i="41" s="1"/>
  <c r="H242" i="41" s="1"/>
  <c r="B243" i="41" s="1"/>
  <c r="E243" i="41" l="1"/>
  <c r="D243" i="41" s="1"/>
  <c r="H243" i="41" s="1"/>
  <c r="B244" i="41" s="1"/>
  <c r="E244" i="41" l="1"/>
  <c r="D244" i="41" l="1"/>
  <c r="H244" i="41" s="1"/>
  <c r="T4" i="42"/>
  <c r="B245" i="41" l="1"/>
  <c r="T5" i="42"/>
  <c r="E245" i="41" l="1"/>
  <c r="D245" i="41" l="1"/>
  <c r="H245" i="41" s="1"/>
  <c r="B246" i="41" s="1"/>
  <c r="E246" i="41" l="1"/>
  <c r="D246" i="41" l="1"/>
  <c r="H246" i="41" s="1"/>
  <c r="B247" i="41" s="1"/>
  <c r="E247" i="41" l="1"/>
  <c r="D247" i="41" l="1"/>
  <c r="H247" i="41" s="1"/>
  <c r="B248" i="41" s="1"/>
  <c r="E248" i="41" l="1"/>
  <c r="D248" i="41" l="1"/>
  <c r="H248" i="41" s="1"/>
  <c r="B249" i="41" s="1"/>
  <c r="E249" i="41" l="1"/>
  <c r="D249" i="41" l="1"/>
  <c r="H249" i="41" s="1"/>
  <c r="B250" i="41" s="1"/>
  <c r="E250" i="41" l="1"/>
  <c r="D250" i="41" s="1"/>
  <c r="H250" i="41" s="1"/>
  <c r="B251" i="41" s="1"/>
  <c r="E251" i="41" l="1"/>
  <c r="D251" i="41" s="1"/>
  <c r="H251" i="41" s="1"/>
  <c r="B252" i="41" s="1"/>
  <c r="E252" i="41" l="1"/>
  <c r="D252" i="41" s="1"/>
  <c r="H252" i="41" s="1"/>
  <c r="B253" i="41" s="1"/>
  <c r="E253" i="41" l="1"/>
  <c r="D253" i="41" s="1"/>
  <c r="H253" i="41" s="1"/>
  <c r="B254" i="41" s="1"/>
  <c r="E254" i="41" l="1"/>
  <c r="D254" i="41" s="1"/>
  <c r="H254" i="41" s="1"/>
  <c r="B255" i="41" s="1"/>
  <c r="E255" i="41" l="1"/>
  <c r="D255" i="41" s="1"/>
  <c r="H255" i="41" s="1"/>
  <c r="B256" i="41" s="1"/>
  <c r="E256" i="41" l="1"/>
  <c r="D256" i="41" l="1"/>
  <c r="H256" i="41" s="1"/>
  <c r="U5" i="42" s="1"/>
  <c r="U4" i="42"/>
  <c r="C16" i="102"/>
  <c r="C17" i="102" s="1"/>
  <c r="C18" i="102" s="1"/>
  <c r="D14" i="74" l="1"/>
  <c r="D15" i="74" s="1"/>
  <c r="D16" i="74" s="1"/>
  <c r="D17" i="74" s="1"/>
  <c r="C19" i="102"/>
  <c r="D14" i="22" l="1"/>
  <c r="D19" i="22" s="1"/>
  <c r="E19" i="98"/>
  <c r="H19" i="98" s="1"/>
  <c r="I19" i="98" s="1"/>
  <c r="E15" i="47" s="1"/>
  <c r="F15" i="47" s="1"/>
  <c r="G15" i="47" s="1"/>
  <c r="H15" i="47" s="1"/>
  <c r="I15" i="47" s="1"/>
  <c r="J15" i="47" s="1"/>
  <c r="D19" i="74"/>
  <c r="E18" i="98" s="1"/>
  <c r="H18" i="98" s="1"/>
  <c r="I18" i="98" s="1"/>
  <c r="E14" i="22" l="1"/>
  <c r="E19" i="22" s="1"/>
  <c r="C7" i="36"/>
  <c r="C12" i="36" s="1"/>
  <c r="D31" i="22"/>
  <c r="D32" i="22" s="1"/>
  <c r="E14" i="47"/>
  <c r="I13" i="98"/>
  <c r="I33" i="98" s="1"/>
  <c r="H28" i="2" s="1"/>
  <c r="F14" i="22" l="1"/>
  <c r="F19" i="22" s="1"/>
  <c r="D7" i="36"/>
  <c r="D12" i="36" s="1"/>
  <c r="D21" i="28"/>
  <c r="D22" i="28" s="1"/>
  <c r="F14" i="47"/>
  <c r="E29" i="47"/>
  <c r="N31" i="22"/>
  <c r="N32" i="22" s="1"/>
  <c r="H31" i="22"/>
  <c r="I31" i="22"/>
  <c r="J31" i="22"/>
  <c r="J32" i="22" s="1"/>
  <c r="C24" i="36"/>
  <c r="L31" i="22"/>
  <c r="L32" i="22" s="1"/>
  <c r="M31" i="22"/>
  <c r="M32" i="22" s="1"/>
  <c r="G31" i="22"/>
  <c r="E31" i="22"/>
  <c r="K31" i="22"/>
  <c r="K32" i="22" s="1"/>
  <c r="F31" i="22"/>
  <c r="O31" i="22"/>
  <c r="D34" i="22"/>
  <c r="D36" i="22" s="1"/>
  <c r="G14" i="22" l="1"/>
  <c r="G19" i="22" s="1"/>
  <c r="E7" i="36"/>
  <c r="E12" i="36" s="1"/>
  <c r="E24" i="36"/>
  <c r="E25" i="36" s="1"/>
  <c r="F32" i="22"/>
  <c r="F34" i="22" s="1"/>
  <c r="F36" i="22" s="1"/>
  <c r="H32" i="22"/>
  <c r="G24" i="36"/>
  <c r="G25" i="36" s="1"/>
  <c r="F29" i="47"/>
  <c r="D38" i="24" s="1"/>
  <c r="G14" i="47"/>
  <c r="O32" i="22"/>
  <c r="Y31" i="22"/>
  <c r="Y32" i="22" s="1"/>
  <c r="R31" i="22"/>
  <c r="R32" i="22" s="1"/>
  <c r="T31" i="22"/>
  <c r="T32" i="22" s="1"/>
  <c r="X31" i="22"/>
  <c r="X32" i="22" s="1"/>
  <c r="S31" i="22"/>
  <c r="S32" i="22" s="1"/>
  <c r="U31" i="22"/>
  <c r="U32" i="22" s="1"/>
  <c r="AA31" i="22"/>
  <c r="AA32" i="22" s="1"/>
  <c r="W31" i="22"/>
  <c r="W32" i="22" s="1"/>
  <c r="V31" i="22"/>
  <c r="V32" i="22" s="1"/>
  <c r="Z31" i="22"/>
  <c r="Z32" i="22" s="1"/>
  <c r="Q31" i="22"/>
  <c r="AB31" i="22"/>
  <c r="D24" i="36"/>
  <c r="D25" i="36" s="1"/>
  <c r="D27" i="36" s="1"/>
  <c r="E32" i="22"/>
  <c r="E34" i="22" s="1"/>
  <c r="E36" i="22" s="1"/>
  <c r="C25" i="36"/>
  <c r="C27" i="36" s="1"/>
  <c r="I32" i="22"/>
  <c r="H24" i="36"/>
  <c r="H25" i="36" s="1"/>
  <c r="C31" i="22"/>
  <c r="C32" i="22" s="1"/>
  <c r="F24" i="36"/>
  <c r="F25" i="36" s="1"/>
  <c r="G32" i="22"/>
  <c r="F7" i="36" l="1"/>
  <c r="F12" i="36" s="1"/>
  <c r="F27" i="36" s="1"/>
  <c r="H14" i="22"/>
  <c r="H19" i="22" s="1"/>
  <c r="H34" i="22" s="1"/>
  <c r="H36" i="22" s="1"/>
  <c r="D35" i="24"/>
  <c r="D26" i="24" s="1"/>
  <c r="D36" i="24" s="1"/>
  <c r="I24" i="36"/>
  <c r="I25" i="36" s="1"/>
  <c r="AB32" i="22"/>
  <c r="AI31" i="22"/>
  <c r="AJ31" i="22"/>
  <c r="AH31" i="22"/>
  <c r="AG31" i="22"/>
  <c r="AC31" i="22"/>
  <c r="AE31" i="22"/>
  <c r="AD31" i="22"/>
  <c r="AF31" i="22"/>
  <c r="G7" i="36"/>
  <c r="Q32" i="22"/>
  <c r="P31" i="22"/>
  <c r="G29" i="47"/>
  <c r="E38" i="24" s="1"/>
  <c r="E10" i="28" s="1"/>
  <c r="H14" i="47"/>
  <c r="G34" i="22"/>
  <c r="G36" i="22" s="1"/>
  <c r="D10" i="28"/>
  <c r="C6" i="26"/>
  <c r="E27" i="36"/>
  <c r="I14" i="22" l="1"/>
  <c r="I19" i="22" s="1"/>
  <c r="I34" i="22" s="1"/>
  <c r="I36" i="22" s="1"/>
  <c r="C32" i="36"/>
  <c r="P32" i="22"/>
  <c r="E35" i="24"/>
  <c r="E26" i="24" s="1"/>
  <c r="E36" i="24" s="1"/>
  <c r="AE32" i="22"/>
  <c r="H35" i="24"/>
  <c r="H26" i="24" s="1"/>
  <c r="H36" i="24" s="1"/>
  <c r="H7" i="36"/>
  <c r="H12" i="36" s="1"/>
  <c r="H27" i="36" s="1"/>
  <c r="J14" i="22"/>
  <c r="J19" i="22" s="1"/>
  <c r="AH32" i="22"/>
  <c r="K35" i="24"/>
  <c r="K26" i="24" s="1"/>
  <c r="K36" i="24" s="1"/>
  <c r="AJ32" i="22"/>
  <c r="M35" i="24"/>
  <c r="M26" i="24" s="1"/>
  <c r="M36" i="24" s="1"/>
  <c r="G12" i="36"/>
  <c r="G27" i="36" s="1"/>
  <c r="I7" i="36"/>
  <c r="I12" i="36" s="1"/>
  <c r="C31" i="36" s="1"/>
  <c r="AC32" i="22"/>
  <c r="F35" i="24"/>
  <c r="F26" i="24" s="1"/>
  <c r="F36" i="24" s="1"/>
  <c r="L35" i="24"/>
  <c r="L26" i="24" s="1"/>
  <c r="L36" i="24" s="1"/>
  <c r="AI32" i="22"/>
  <c r="D6" i="26"/>
  <c r="AD32" i="22"/>
  <c r="G35" i="24"/>
  <c r="G26" i="24" s="1"/>
  <c r="G36" i="24" s="1"/>
  <c r="I14" i="47"/>
  <c r="H29" i="47"/>
  <c r="F38" i="24" s="1"/>
  <c r="F10" i="28" s="1"/>
  <c r="I35" i="24"/>
  <c r="I26" i="24" s="1"/>
  <c r="I36" i="24" s="1"/>
  <c r="AF32" i="22"/>
  <c r="AG32" i="22"/>
  <c r="J35" i="24"/>
  <c r="J26" i="24" s="1"/>
  <c r="J36" i="24" s="1"/>
  <c r="C33" i="36" l="1"/>
  <c r="G28" i="2" s="1"/>
  <c r="E6" i="26"/>
  <c r="J14" i="47"/>
  <c r="I29" i="47"/>
  <c r="G38" i="24" s="1"/>
  <c r="G10" i="28" s="1"/>
  <c r="J34" i="22"/>
  <c r="J36" i="22" s="1"/>
  <c r="K14" i="22"/>
  <c r="K19" i="22" s="1"/>
  <c r="I27" i="36"/>
  <c r="F14" i="26" l="1"/>
  <c r="I14" i="26"/>
  <c r="B10" i="13"/>
  <c r="B17" i="13" s="1"/>
  <c r="D14" i="26"/>
  <c r="C14" i="26"/>
  <c r="L14" i="26"/>
  <c r="D26" i="28"/>
  <c r="E14" i="26"/>
  <c r="H14" i="26"/>
  <c r="D27" i="28"/>
  <c r="J14" i="26"/>
  <c r="K14" i="26"/>
  <c r="G14" i="26"/>
  <c r="K34" i="22"/>
  <c r="K36" i="22" s="1"/>
  <c r="L14" i="22"/>
  <c r="L19" i="22" s="1"/>
  <c r="F6" i="26"/>
  <c r="J29" i="47"/>
  <c r="H38" i="24" s="1"/>
  <c r="H10" i="28" s="1"/>
  <c r="K14" i="47"/>
  <c r="B14" i="13" l="1"/>
  <c r="C14" i="13" s="1"/>
  <c r="D6" i="18"/>
  <c r="D6" i="19" s="1"/>
  <c r="B4" i="13"/>
  <c r="B7" i="13" s="1"/>
  <c r="G6" i="26"/>
  <c r="E17" i="13"/>
  <c r="L14" i="47"/>
  <c r="K29" i="47"/>
  <c r="I38" i="24" s="1"/>
  <c r="I10" i="28" s="1"/>
  <c r="L34" i="22"/>
  <c r="L36" i="22" s="1"/>
  <c r="M14" i="22"/>
  <c r="M19" i="22" s="1"/>
  <c r="C233" i="13" l="1"/>
  <c r="C99" i="13"/>
  <c r="C139" i="13"/>
  <c r="C54" i="13"/>
  <c r="C159" i="13"/>
  <c r="C250" i="13"/>
  <c r="C30" i="13"/>
  <c r="C189" i="13"/>
  <c r="C138" i="13"/>
  <c r="C204" i="13"/>
  <c r="C195" i="13"/>
  <c r="C140" i="13"/>
  <c r="C91" i="13"/>
  <c r="C141" i="13"/>
  <c r="C212" i="13"/>
  <c r="C118" i="13"/>
  <c r="C234" i="13"/>
  <c r="C203" i="13"/>
  <c r="C240" i="13"/>
  <c r="C255" i="13"/>
  <c r="C220" i="13"/>
  <c r="C252" i="13"/>
  <c r="C226" i="13"/>
  <c r="C237" i="13"/>
  <c r="C196" i="13"/>
  <c r="C149" i="13"/>
  <c r="K6" i="40"/>
  <c r="C238" i="13"/>
  <c r="C6" i="40"/>
  <c r="C248" i="13"/>
  <c r="C199" i="13"/>
  <c r="C130" i="13"/>
  <c r="C169" i="13"/>
  <c r="C133" i="13"/>
  <c r="C186" i="13"/>
  <c r="C185" i="13"/>
  <c r="C253" i="13"/>
  <c r="C210" i="13"/>
  <c r="C183" i="13"/>
  <c r="C214" i="13"/>
  <c r="C155" i="13"/>
  <c r="C94" i="13"/>
  <c r="C115" i="13"/>
  <c r="C161" i="13"/>
  <c r="C209" i="13"/>
  <c r="C74" i="13"/>
  <c r="C232" i="13"/>
  <c r="C124" i="13"/>
  <c r="I6" i="40"/>
  <c r="C202" i="13"/>
  <c r="C178" i="13"/>
  <c r="C224" i="13"/>
  <c r="C227" i="13"/>
  <c r="C218" i="13"/>
  <c r="C42" i="13"/>
  <c r="C222" i="13"/>
  <c r="J6" i="40"/>
  <c r="C223" i="13"/>
  <c r="S6" i="40"/>
  <c r="C251" i="13"/>
  <c r="C132" i="13"/>
  <c r="C151" i="13"/>
  <c r="C59" i="13"/>
  <c r="C246" i="13"/>
  <c r="C219" i="13"/>
  <c r="C107" i="13"/>
  <c r="C242" i="13"/>
  <c r="C216" i="13"/>
  <c r="C73" i="13"/>
  <c r="C244" i="13"/>
  <c r="C215" i="13"/>
  <c r="C165" i="13"/>
  <c r="C193" i="13"/>
  <c r="C208" i="13"/>
  <c r="C206" i="13"/>
  <c r="C152" i="13"/>
  <c r="C230" i="13"/>
  <c r="C201" i="13"/>
  <c r="C213" i="13"/>
  <c r="C114" i="13"/>
  <c r="C129" i="13"/>
  <c r="C142" i="13"/>
  <c r="C254" i="13"/>
  <c r="C228" i="13"/>
  <c r="C98" i="13"/>
  <c r="C236" i="13"/>
  <c r="C245" i="13"/>
  <c r="C229" i="13"/>
  <c r="C173" i="13"/>
  <c r="C108" i="13"/>
  <c r="C235" i="13"/>
  <c r="C200" i="13"/>
  <c r="G6" i="40"/>
  <c r="C205" i="13"/>
  <c r="C190" i="13"/>
  <c r="C146" i="13"/>
  <c r="C119" i="13"/>
  <c r="C85" i="13"/>
  <c r="C175" i="13"/>
  <c r="C180" i="13"/>
  <c r="C101" i="13"/>
  <c r="C256" i="13"/>
  <c r="C157" i="13"/>
  <c r="C92" i="13"/>
  <c r="C211" i="13"/>
  <c r="C96" i="13"/>
  <c r="C162" i="13"/>
  <c r="C97" i="13"/>
  <c r="C247" i="13"/>
  <c r="C103" i="13"/>
  <c r="C65" i="13"/>
  <c r="C207" i="13"/>
  <c r="C154" i="13"/>
  <c r="C145" i="13"/>
  <c r="C197" i="13"/>
  <c r="C241" i="13"/>
  <c r="C113" i="13"/>
  <c r="C122" i="13"/>
  <c r="C231" i="13"/>
  <c r="C100" i="13"/>
  <c r="C147" i="13"/>
  <c r="C249" i="13"/>
  <c r="C131" i="13"/>
  <c r="C239" i="13"/>
  <c r="C156" i="13"/>
  <c r="C194" i="13"/>
  <c r="C176" i="13"/>
  <c r="C134" i="13"/>
  <c r="C112" i="13"/>
  <c r="C81" i="13"/>
  <c r="C163" i="13"/>
  <c r="C166" i="13"/>
  <c r="C168" i="13"/>
  <c r="C136" i="13"/>
  <c r="C177" i="13"/>
  <c r="D6" i="40"/>
  <c r="C187" i="13"/>
  <c r="C64" i="13"/>
  <c r="C111" i="13"/>
  <c r="C181" i="13"/>
  <c r="C171" i="13"/>
  <c r="C109" i="13"/>
  <c r="C105" i="13"/>
  <c r="C225" i="13"/>
  <c r="C160" i="13"/>
  <c r="C104" i="13"/>
  <c r="C89" i="13"/>
  <c r="C135" i="13"/>
  <c r="C88" i="13"/>
  <c r="C179" i="13"/>
  <c r="F6" i="40"/>
  <c r="C84" i="13"/>
  <c r="E6" i="40"/>
  <c r="C164" i="13"/>
  <c r="C69" i="13"/>
  <c r="C66" i="13"/>
  <c r="C32" i="13"/>
  <c r="C50" i="13"/>
  <c r="C128" i="13"/>
  <c r="C77" i="13"/>
  <c r="C86" i="13"/>
  <c r="C55" i="13"/>
  <c r="C182" i="13"/>
  <c r="C121" i="13"/>
  <c r="C63" i="13"/>
  <c r="C153" i="13"/>
  <c r="C126" i="13"/>
  <c r="C117" i="13"/>
  <c r="C27" i="13"/>
  <c r="C172" i="13"/>
  <c r="C110" i="13"/>
  <c r="P6" i="40"/>
  <c r="C36" i="13"/>
  <c r="H6" i="40"/>
  <c r="C221" i="13"/>
  <c r="C184" i="13"/>
  <c r="C123" i="13"/>
  <c r="C188" i="13"/>
  <c r="C217" i="13"/>
  <c r="C120" i="13"/>
  <c r="C243" i="13"/>
  <c r="C143" i="13"/>
  <c r="C170" i="13"/>
  <c r="C71" i="13"/>
  <c r="C93" i="13"/>
  <c r="C29" i="13"/>
  <c r="C191" i="13"/>
  <c r="C150" i="13"/>
  <c r="C80" i="13"/>
  <c r="C61" i="13"/>
  <c r="C167" i="13"/>
  <c r="C174" i="13"/>
  <c r="C158" i="13"/>
  <c r="C137" i="13"/>
  <c r="C102" i="13"/>
  <c r="C78" i="13"/>
  <c r="C56" i="13"/>
  <c r="C51" i="13"/>
  <c r="C125" i="13"/>
  <c r="C31" i="13"/>
  <c r="C46" i="13"/>
  <c r="C37" i="13"/>
  <c r="C62" i="13"/>
  <c r="C116" i="13"/>
  <c r="C41" i="13"/>
  <c r="C106" i="13"/>
  <c r="C38" i="13"/>
  <c r="C75" i="13"/>
  <c r="C39" i="13"/>
  <c r="C40" i="13"/>
  <c r="C76" i="13"/>
  <c r="C57" i="13"/>
  <c r="C79" i="13"/>
  <c r="C148" i="13"/>
  <c r="C95" i="13"/>
  <c r="C58" i="13"/>
  <c r="C45" i="13"/>
  <c r="C43" i="13"/>
  <c r="C83" i="13"/>
  <c r="B6" i="40"/>
  <c r="C44" i="13"/>
  <c r="C35" i="13"/>
  <c r="T6" i="40"/>
  <c r="C28" i="13"/>
  <c r="C47" i="13"/>
  <c r="C68" i="13"/>
  <c r="C25" i="13"/>
  <c r="R6" i="40"/>
  <c r="C87" i="13"/>
  <c r="C53" i="13"/>
  <c r="C17" i="13"/>
  <c r="D17" i="13" s="1"/>
  <c r="H17" i="13" s="1"/>
  <c r="B18" i="13" s="1"/>
  <c r="E18" i="13" s="1"/>
  <c r="C33" i="13"/>
  <c r="N6" i="40"/>
  <c r="C198" i="13"/>
  <c r="C144" i="13"/>
  <c r="C70" i="13"/>
  <c r="C192" i="13"/>
  <c r="C127" i="13"/>
  <c r="C82" i="13"/>
  <c r="C72" i="13"/>
  <c r="C67" i="13"/>
  <c r="C90" i="13"/>
  <c r="C49" i="13"/>
  <c r="C34" i="13"/>
  <c r="C24" i="13"/>
  <c r="C19" i="13"/>
  <c r="C20" i="13"/>
  <c r="C18" i="13"/>
  <c r="C52" i="13"/>
  <c r="C26" i="13"/>
  <c r="C22" i="13"/>
  <c r="Q6" i="40"/>
  <c r="M6" i="40"/>
  <c r="O6" i="40"/>
  <c r="C60" i="13"/>
  <c r="C23" i="13"/>
  <c r="C48" i="13"/>
  <c r="C21" i="13"/>
  <c r="U6" i="40"/>
  <c r="L6" i="40"/>
  <c r="M34" i="22"/>
  <c r="M36" i="22" s="1"/>
  <c r="N14" i="22"/>
  <c r="N19" i="22" s="1"/>
  <c r="H6" i="26"/>
  <c r="L29" i="47"/>
  <c r="J38" i="24" s="1"/>
  <c r="J10" i="28" s="1"/>
  <c r="M14" i="47"/>
  <c r="D18" i="13" l="1"/>
  <c r="H18" i="13" s="1"/>
  <c r="B19" i="13" s="1"/>
  <c r="E19" i="13" s="1"/>
  <c r="N14" i="47"/>
  <c r="M29" i="47"/>
  <c r="K38" i="24" s="1"/>
  <c r="K10" i="28" s="1"/>
  <c r="N34" i="22"/>
  <c r="N36" i="22" s="1"/>
  <c r="O14" i="22"/>
  <c r="O19" i="22" s="1"/>
  <c r="I6" i="26"/>
  <c r="O14" i="47" l="1"/>
  <c r="O29" i="47" s="1"/>
  <c r="M38" i="24" s="1"/>
  <c r="M10" i="28" s="1"/>
  <c r="N29" i="47"/>
  <c r="L38" i="24" s="1"/>
  <c r="L10" i="28" s="1"/>
  <c r="J6" i="26"/>
  <c r="O34" i="22"/>
  <c r="O36" i="22" s="1"/>
  <c r="Q14" i="22"/>
  <c r="Q19" i="22" s="1"/>
  <c r="C14" i="22"/>
  <c r="C19" i="22" s="1"/>
  <c r="D19" i="13"/>
  <c r="H19" i="13" s="1"/>
  <c r="B20" i="13" s="1"/>
  <c r="E20" i="13" l="1"/>
  <c r="K6" i="26"/>
  <c r="C34" i="22"/>
  <c r="C36" i="22" s="1"/>
  <c r="D11" i="24"/>
  <c r="D16" i="24" s="1"/>
  <c r="R14" i="22"/>
  <c r="R19" i="22" s="1"/>
  <c r="Q34" i="22"/>
  <c r="Q36" i="22" s="1"/>
  <c r="L6" i="26" l="1"/>
  <c r="D18" i="24"/>
  <c r="D19" i="24" s="1"/>
  <c r="D37" i="24"/>
  <c r="D48" i="24" s="1"/>
  <c r="D40" i="24"/>
  <c r="C10" i="26"/>
  <c r="C11" i="26" s="1"/>
  <c r="R34" i="22"/>
  <c r="R36" i="22" s="1"/>
  <c r="S14" i="22"/>
  <c r="S19" i="22" s="1"/>
  <c r="D20" i="13"/>
  <c r="H20" i="13" s="1"/>
  <c r="B21" i="13" s="1"/>
  <c r="T14" i="22" l="1"/>
  <c r="T19" i="22" s="1"/>
  <c r="S34" i="22"/>
  <c r="S36" i="22" s="1"/>
  <c r="E21" i="13"/>
  <c r="D43" i="24"/>
  <c r="D21" i="13" l="1"/>
  <c r="H21" i="13" s="1"/>
  <c r="B22" i="13" s="1"/>
  <c r="C16" i="26"/>
  <c r="D7" i="28"/>
  <c r="U14" i="22"/>
  <c r="U19" i="22" s="1"/>
  <c r="T34" i="22"/>
  <c r="T36" i="22" s="1"/>
  <c r="U34" i="22" l="1"/>
  <c r="U36" i="22" s="1"/>
  <c r="V14" i="22"/>
  <c r="V19" i="22" s="1"/>
  <c r="E22" i="13"/>
  <c r="D22" i="13" s="1"/>
  <c r="H22" i="13" s="1"/>
  <c r="B23" i="13" s="1"/>
  <c r="E23" i="13" l="1"/>
  <c r="D23" i="13" s="1"/>
  <c r="H23" i="13" s="1"/>
  <c r="B24" i="13" s="1"/>
  <c r="W14" i="22"/>
  <c r="W19" i="22" s="1"/>
  <c r="V34" i="22"/>
  <c r="V36" i="22" s="1"/>
  <c r="W34" i="22" l="1"/>
  <c r="W36" i="22" s="1"/>
  <c r="X14" i="22"/>
  <c r="X19" i="22" s="1"/>
  <c r="E24" i="13"/>
  <c r="D24" i="13" s="1"/>
  <c r="H24" i="13" s="1"/>
  <c r="B25" i="13" s="1"/>
  <c r="E25" i="13" l="1"/>
  <c r="D25" i="13" s="1"/>
  <c r="H25" i="13" s="1"/>
  <c r="B26" i="13" s="1"/>
  <c r="Y14" i="22"/>
  <c r="Y19" i="22" s="1"/>
  <c r="X34" i="22"/>
  <c r="X36" i="22" s="1"/>
  <c r="Z14" i="22" l="1"/>
  <c r="Z19" i="22" s="1"/>
  <c r="Y34" i="22"/>
  <c r="Y36" i="22" s="1"/>
  <c r="E26" i="13"/>
  <c r="D26" i="13" s="1"/>
  <c r="H26" i="13" s="1"/>
  <c r="B27" i="13" s="1"/>
  <c r="E27" i="13" l="1"/>
  <c r="D27" i="13" s="1"/>
  <c r="H27" i="13" s="1"/>
  <c r="B28" i="13" s="1"/>
  <c r="Z34" i="22"/>
  <c r="Z36" i="22" s="1"/>
  <c r="AA14" i="22"/>
  <c r="AA19" i="22" s="1"/>
  <c r="AA34" i="22" l="1"/>
  <c r="AA36" i="22" s="1"/>
  <c r="AB14" i="22"/>
  <c r="E28" i="13"/>
  <c r="AG14" i="22" l="1"/>
  <c r="AG19" i="22" s="1"/>
  <c r="AC14" i="22"/>
  <c r="AC19" i="22" s="1"/>
  <c r="AB19" i="22"/>
  <c r="AD14" i="22"/>
  <c r="AD19" i="22" s="1"/>
  <c r="AH14" i="22"/>
  <c r="AH19" i="22" s="1"/>
  <c r="AF14" i="22"/>
  <c r="AF19" i="22" s="1"/>
  <c r="AJ14" i="22"/>
  <c r="AJ19" i="22" s="1"/>
  <c r="AE14" i="22"/>
  <c r="AE19" i="22" s="1"/>
  <c r="AI14" i="22"/>
  <c r="AI19" i="22" s="1"/>
  <c r="D28" i="13"/>
  <c r="H28" i="13" s="1"/>
  <c r="B4" i="40"/>
  <c r="AB34" i="22"/>
  <c r="AB36" i="22" s="1"/>
  <c r="P14" i="22"/>
  <c r="P19" i="22" s="1"/>
  <c r="E11" i="24" l="1"/>
  <c r="E16" i="24" s="1"/>
  <c r="P34" i="22"/>
  <c r="P36" i="22" s="1"/>
  <c r="D16" i="28"/>
  <c r="D9" i="28"/>
  <c r="D42" i="24"/>
  <c r="D45" i="24" s="1"/>
  <c r="D28" i="28"/>
  <c r="D29" i="28" s="1"/>
  <c r="B5" i="40"/>
  <c r="C15" i="26" s="1"/>
  <c r="B29" i="13"/>
  <c r="AG34" i="22" l="1"/>
  <c r="AG36" i="22" s="1"/>
  <c r="J11" i="24"/>
  <c r="J16" i="24" s="1"/>
  <c r="AJ34" i="22"/>
  <c r="AJ36" i="22" s="1"/>
  <c r="M11" i="24"/>
  <c r="M16" i="24" s="1"/>
  <c r="E29" i="13"/>
  <c r="AI34" i="22"/>
  <c r="AI36" i="22" s="1"/>
  <c r="L11" i="24"/>
  <c r="L16" i="24" s="1"/>
  <c r="AD34" i="22"/>
  <c r="AD36" i="22" s="1"/>
  <c r="G11" i="24"/>
  <c r="G16" i="24" s="1"/>
  <c r="AE34" i="22"/>
  <c r="AE36" i="22" s="1"/>
  <c r="H11" i="24"/>
  <c r="H16" i="24" s="1"/>
  <c r="AH34" i="22"/>
  <c r="AH36" i="22" s="1"/>
  <c r="K11" i="24"/>
  <c r="K16" i="24" s="1"/>
  <c r="D46" i="24"/>
  <c r="C13" i="26"/>
  <c r="C17" i="26" s="1"/>
  <c r="C18" i="26" s="1"/>
  <c r="C19" i="26" s="1"/>
  <c r="D6" i="28"/>
  <c r="D15" i="28" s="1"/>
  <c r="D18" i="28" s="1"/>
  <c r="D31" i="28" s="1"/>
  <c r="D35" i="28" s="1"/>
  <c r="AF34" i="22"/>
  <c r="AF36" i="22" s="1"/>
  <c r="I11" i="24"/>
  <c r="I16" i="24" s="1"/>
  <c r="AC34" i="22"/>
  <c r="AC36" i="22" s="1"/>
  <c r="F11" i="24"/>
  <c r="F16" i="24" s="1"/>
  <c r="E18" i="24"/>
  <c r="E19" i="24" s="1"/>
  <c r="E37" i="24"/>
  <c r="E48" i="24" s="1"/>
  <c r="E40" i="24"/>
  <c r="D10" i="26"/>
  <c r="D11" i="26" s="1"/>
  <c r="E33" i="28" l="1"/>
  <c r="D36" i="28"/>
  <c r="D37" i="28" s="1"/>
  <c r="D7" i="18"/>
  <c r="I18" i="24"/>
  <c r="I19" i="24" s="1"/>
  <c r="I37" i="24"/>
  <c r="I48" i="24" s="1"/>
  <c r="I40" i="24"/>
  <c r="M37" i="24"/>
  <c r="M48" i="24" s="1"/>
  <c r="M18" i="24"/>
  <c r="M19" i="24" s="1"/>
  <c r="M40" i="24"/>
  <c r="K18" i="24"/>
  <c r="K19" i="24" s="1"/>
  <c r="K37" i="24"/>
  <c r="K48" i="24" s="1"/>
  <c r="K40" i="24"/>
  <c r="G37" i="24"/>
  <c r="G48" i="24" s="1"/>
  <c r="G18" i="24"/>
  <c r="G19" i="24" s="1"/>
  <c r="G40" i="24"/>
  <c r="F37" i="24"/>
  <c r="F48" i="24" s="1"/>
  <c r="F18" i="24"/>
  <c r="F19" i="24" s="1"/>
  <c r="F40" i="24"/>
  <c r="E10" i="26"/>
  <c r="E11" i="26" s="1"/>
  <c r="J18" i="24"/>
  <c r="J19" i="24" s="1"/>
  <c r="J37" i="24"/>
  <c r="J48" i="24" s="1"/>
  <c r="J40" i="24"/>
  <c r="E43" i="24"/>
  <c r="H18" i="24"/>
  <c r="H19" i="24" s="1"/>
  <c r="H40" i="24"/>
  <c r="H37" i="24"/>
  <c r="H48" i="24" s="1"/>
  <c r="L37" i="24"/>
  <c r="L48" i="24" s="1"/>
  <c r="L18" i="24"/>
  <c r="L19" i="24" s="1"/>
  <c r="L40" i="24"/>
  <c r="D29" i="13"/>
  <c r="H29" i="13" s="1"/>
  <c r="B30" i="13" s="1"/>
  <c r="F43" i="24" l="1"/>
  <c r="D7" i="19"/>
  <c r="E30" i="13"/>
  <c r="H43" i="24"/>
  <c r="F10" i="26"/>
  <c r="G43" i="24"/>
  <c r="M43" i="24"/>
  <c r="I43" i="24"/>
  <c r="J43" i="24"/>
  <c r="K43" i="24"/>
  <c r="L43" i="24"/>
  <c r="D16" i="26"/>
  <c r="E7" i="28"/>
  <c r="K7" i="28" l="1"/>
  <c r="G7" i="28"/>
  <c r="E7" i="19"/>
  <c r="I7" i="28"/>
  <c r="F11" i="26"/>
  <c r="G10" i="26"/>
  <c r="D30" i="13"/>
  <c r="H30" i="13" s="1"/>
  <c r="B31" i="13" s="1"/>
  <c r="E16" i="26"/>
  <c r="F16" i="26" s="1"/>
  <c r="G16" i="26" s="1"/>
  <c r="H16" i="26" s="1"/>
  <c r="I16" i="26" s="1"/>
  <c r="J16" i="26" s="1"/>
  <c r="K16" i="26" s="1"/>
  <c r="L16" i="26" s="1"/>
  <c r="F7" i="28"/>
  <c r="L7" i="28"/>
  <c r="J7" i="28"/>
  <c r="M7" i="28"/>
  <c r="H7" i="28"/>
  <c r="G11" i="26" l="1"/>
  <c r="H10" i="26"/>
  <c r="E31" i="13"/>
  <c r="D31" i="13" l="1"/>
  <c r="H31" i="13" s="1"/>
  <c r="B32" i="13" s="1"/>
  <c r="H11" i="26"/>
  <c r="I10" i="26"/>
  <c r="I11" i="26" l="1"/>
  <c r="J10" i="26"/>
  <c r="E32" i="13"/>
  <c r="J11" i="26" l="1"/>
  <c r="K10" i="26"/>
  <c r="D32" i="13"/>
  <c r="H32" i="13" s="1"/>
  <c r="B33" i="13" s="1"/>
  <c r="E33" i="13" l="1"/>
  <c r="K11" i="26"/>
  <c r="L10" i="26"/>
  <c r="L11" i="26" s="1"/>
  <c r="D33" i="13" l="1"/>
  <c r="H33" i="13" s="1"/>
  <c r="B34" i="13" s="1"/>
  <c r="E34" i="13" l="1"/>
  <c r="D34" i="13" s="1"/>
  <c r="H34" i="13" s="1"/>
  <c r="B35" i="13" s="1"/>
  <c r="E35" i="13" l="1"/>
  <c r="D35" i="13" s="1"/>
  <c r="H35" i="13" s="1"/>
  <c r="B36" i="13" s="1"/>
  <c r="E36" i="13" l="1"/>
  <c r="D36" i="13" s="1"/>
  <c r="H36" i="13" s="1"/>
  <c r="B37" i="13" s="1"/>
  <c r="E37" i="13" l="1"/>
  <c r="D37" i="13" s="1"/>
  <c r="H37" i="13" s="1"/>
  <c r="B38" i="13" s="1"/>
  <c r="E38" i="13" l="1"/>
  <c r="D38" i="13" s="1"/>
  <c r="H38" i="13" s="1"/>
  <c r="B39" i="13" s="1"/>
  <c r="E39" i="13" l="1"/>
  <c r="D39" i="13" s="1"/>
  <c r="H39" i="13" s="1"/>
  <c r="B40" i="13" s="1"/>
  <c r="E40" i="13" l="1"/>
  <c r="D40" i="13" l="1"/>
  <c r="H40" i="13" s="1"/>
  <c r="C4" i="40"/>
  <c r="E42" i="24" l="1"/>
  <c r="E45" i="24" s="1"/>
  <c r="E16" i="28"/>
  <c r="E9" i="28"/>
  <c r="E28" i="28"/>
  <c r="E29" i="28" s="1"/>
  <c r="C5" i="40"/>
  <c r="D15" i="26" s="1"/>
  <c r="B41" i="13"/>
  <c r="E41" i="13" l="1"/>
  <c r="E46" i="24"/>
  <c r="E6" i="28"/>
  <c r="E15" i="28" s="1"/>
  <c r="E18" i="28" s="1"/>
  <c r="E31" i="28" s="1"/>
  <c r="E35" i="28" s="1"/>
  <c r="D13" i="26"/>
  <c r="D17" i="26" s="1"/>
  <c r="D18" i="26" s="1"/>
  <c r="D19" i="26" s="1"/>
  <c r="E36" i="28" l="1"/>
  <c r="E37" i="28" s="1"/>
  <c r="D8" i="18"/>
  <c r="F33" i="28"/>
  <c r="D41" i="13"/>
  <c r="H41" i="13" s="1"/>
  <c r="B42" i="13" s="1"/>
  <c r="E42" i="13" l="1"/>
  <c r="D8" i="19"/>
  <c r="E8" i="19" l="1"/>
  <c r="D42" i="13"/>
  <c r="H42" i="13" s="1"/>
  <c r="B43" i="13" s="1"/>
  <c r="E43" i="13" l="1"/>
  <c r="D43" i="13" l="1"/>
  <c r="H43" i="13" s="1"/>
  <c r="B44" i="13" s="1"/>
  <c r="E44" i="13" l="1"/>
  <c r="D44" i="13" l="1"/>
  <c r="H44" i="13" s="1"/>
  <c r="B45" i="13" s="1"/>
  <c r="E45" i="13" l="1"/>
  <c r="D45" i="13" l="1"/>
  <c r="H45" i="13" s="1"/>
  <c r="B46" i="13" s="1"/>
  <c r="E46" i="13" l="1"/>
  <c r="D46" i="13" s="1"/>
  <c r="H46" i="13" s="1"/>
  <c r="B47" i="13" s="1"/>
  <c r="E47" i="13" l="1"/>
  <c r="D47" i="13" s="1"/>
  <c r="H47" i="13" s="1"/>
  <c r="B48" i="13" s="1"/>
  <c r="E48" i="13" l="1"/>
  <c r="D48" i="13" s="1"/>
  <c r="H48" i="13" s="1"/>
  <c r="B49" i="13" s="1"/>
  <c r="E49" i="13" l="1"/>
  <c r="D49" i="13" s="1"/>
  <c r="H49" i="13" s="1"/>
  <c r="B50" i="13" s="1"/>
  <c r="E50" i="13" l="1"/>
  <c r="D50" i="13" s="1"/>
  <c r="H50" i="13" s="1"/>
  <c r="B51" i="13" s="1"/>
  <c r="E51" i="13" l="1"/>
  <c r="D51" i="13" s="1"/>
  <c r="H51" i="13" s="1"/>
  <c r="B52" i="13" s="1"/>
  <c r="E52" i="13" l="1"/>
  <c r="D52" i="13" l="1"/>
  <c r="H52" i="13" s="1"/>
  <c r="D4" i="40"/>
  <c r="F42" i="24" l="1"/>
  <c r="F45" i="24" s="1"/>
  <c r="F16" i="28"/>
  <c r="F9" i="28"/>
  <c r="F28" i="28"/>
  <c r="F29" i="28" s="1"/>
  <c r="D5" i="40"/>
  <c r="E15" i="26" s="1"/>
  <c r="B53" i="13"/>
  <c r="E53" i="13" l="1"/>
  <c r="F46" i="24"/>
  <c r="F6" i="28"/>
  <c r="F15" i="28" s="1"/>
  <c r="F18" i="28" s="1"/>
  <c r="F31" i="28" s="1"/>
  <c r="F35" i="28" s="1"/>
  <c r="E13" i="26"/>
  <c r="E17" i="26" s="1"/>
  <c r="E18" i="26" s="1"/>
  <c r="E19" i="26" s="1"/>
  <c r="F36" i="28" l="1"/>
  <c r="F37" i="28" s="1"/>
  <c r="G33" i="28"/>
  <c r="D9" i="18"/>
  <c r="D53" i="13"/>
  <c r="H53" i="13" s="1"/>
  <c r="B54" i="13" s="1"/>
  <c r="E54" i="13" l="1"/>
  <c r="D9" i="19"/>
  <c r="E9" i="19" l="1"/>
  <c r="D54" i="13"/>
  <c r="H54" i="13" s="1"/>
  <c r="B55" i="13" s="1"/>
  <c r="E55" i="13" l="1"/>
  <c r="D55" i="13" l="1"/>
  <c r="H55" i="13" s="1"/>
  <c r="B56" i="13" s="1"/>
  <c r="E56" i="13" l="1"/>
  <c r="D56" i="13" l="1"/>
  <c r="H56" i="13" s="1"/>
  <c r="B57" i="13" s="1"/>
  <c r="E57" i="13" l="1"/>
  <c r="D57" i="13" l="1"/>
  <c r="H57" i="13" s="1"/>
  <c r="B58" i="13" s="1"/>
  <c r="E58" i="13" l="1"/>
  <c r="D58" i="13" s="1"/>
  <c r="H58" i="13" s="1"/>
  <c r="B59" i="13" s="1"/>
  <c r="E59" i="13" l="1"/>
  <c r="D59" i="13" s="1"/>
  <c r="H59" i="13" s="1"/>
  <c r="B60" i="13" s="1"/>
  <c r="E60" i="13" l="1"/>
  <c r="D60" i="13" s="1"/>
  <c r="H60" i="13" s="1"/>
  <c r="B61" i="13" s="1"/>
  <c r="E61" i="13" l="1"/>
  <c r="D61" i="13" s="1"/>
  <c r="H61" i="13" s="1"/>
  <c r="B62" i="13" s="1"/>
  <c r="E62" i="13" l="1"/>
  <c r="D62" i="13" s="1"/>
  <c r="H62" i="13" s="1"/>
  <c r="B63" i="13" s="1"/>
  <c r="E63" i="13" l="1"/>
  <c r="D63" i="13" s="1"/>
  <c r="H63" i="13" s="1"/>
  <c r="B64" i="13" s="1"/>
  <c r="E64" i="13" l="1"/>
  <c r="D64" i="13" l="1"/>
  <c r="H64" i="13" s="1"/>
  <c r="E4" i="40"/>
  <c r="G42" i="24" l="1"/>
  <c r="G45" i="24" s="1"/>
  <c r="G9" i="28"/>
  <c r="G16" i="28"/>
  <c r="G28" i="28"/>
  <c r="G29" i="28" s="1"/>
  <c r="E5" i="40"/>
  <c r="F15" i="26" s="1"/>
  <c r="B65" i="13"/>
  <c r="E65" i="13" l="1"/>
  <c r="G6" i="28"/>
  <c r="G15" i="28" s="1"/>
  <c r="G18" i="28" s="1"/>
  <c r="G31" i="28" s="1"/>
  <c r="G35" i="28" s="1"/>
  <c r="G46" i="24"/>
  <c r="F13" i="26"/>
  <c r="F17" i="26" s="1"/>
  <c r="F18" i="26" s="1"/>
  <c r="F19" i="26" s="1"/>
  <c r="H33" i="28" l="1"/>
  <c r="G36" i="28"/>
  <c r="G37" i="28" s="1"/>
  <c r="D10" i="18"/>
  <c r="D65" i="13"/>
  <c r="H65" i="13" s="1"/>
  <c r="B66" i="13" s="1"/>
  <c r="D10" i="19" l="1"/>
  <c r="E66" i="13"/>
  <c r="D66" i="13" l="1"/>
  <c r="H66" i="13" s="1"/>
  <c r="B67" i="13" s="1"/>
  <c r="E10" i="19"/>
  <c r="E67" i="13" l="1"/>
  <c r="D67" i="13" l="1"/>
  <c r="H67" i="13" s="1"/>
  <c r="B68" i="13" s="1"/>
  <c r="E68" i="13" l="1"/>
  <c r="D68" i="13" l="1"/>
  <c r="H68" i="13" s="1"/>
  <c r="B69" i="13" s="1"/>
  <c r="E69" i="13" l="1"/>
  <c r="D69" i="13" l="1"/>
  <c r="H69" i="13" s="1"/>
  <c r="B70" i="13" s="1"/>
  <c r="E70" i="13" l="1"/>
  <c r="D70" i="13" s="1"/>
  <c r="H70" i="13" s="1"/>
  <c r="B71" i="13" s="1"/>
  <c r="E71" i="13" l="1"/>
  <c r="D71" i="13" s="1"/>
  <c r="H71" i="13" s="1"/>
  <c r="B72" i="13" s="1"/>
  <c r="E72" i="13" l="1"/>
  <c r="D72" i="13" s="1"/>
  <c r="H72" i="13" s="1"/>
  <c r="B73" i="13" s="1"/>
  <c r="E73" i="13" l="1"/>
  <c r="D73" i="13" s="1"/>
  <c r="H73" i="13" s="1"/>
  <c r="B74" i="13" s="1"/>
  <c r="E74" i="13" l="1"/>
  <c r="D74" i="13" s="1"/>
  <c r="H74" i="13" s="1"/>
  <c r="B75" i="13" s="1"/>
  <c r="E75" i="13" l="1"/>
  <c r="D75" i="13" s="1"/>
  <c r="H75" i="13" s="1"/>
  <c r="B76" i="13" s="1"/>
  <c r="E76" i="13" l="1"/>
  <c r="D76" i="13" l="1"/>
  <c r="H76" i="13" s="1"/>
  <c r="F4" i="40"/>
  <c r="H16" i="28" l="1"/>
  <c r="H42" i="24"/>
  <c r="H45" i="24" s="1"/>
  <c r="H9" i="28"/>
  <c r="H28" i="28"/>
  <c r="H29" i="28" s="1"/>
  <c r="F5" i="40"/>
  <c r="G15" i="26" s="1"/>
  <c r="B77" i="13"/>
  <c r="E77" i="13" l="1"/>
  <c r="H46" i="24"/>
  <c r="H6" i="28"/>
  <c r="H15" i="28" s="1"/>
  <c r="H18" i="28" s="1"/>
  <c r="H31" i="28" s="1"/>
  <c r="H35" i="28" s="1"/>
  <c r="G13" i="26"/>
  <c r="G17" i="26" s="1"/>
  <c r="G18" i="26" s="1"/>
  <c r="G19" i="26" s="1"/>
  <c r="I33" i="28" l="1"/>
  <c r="H36" i="28"/>
  <c r="H37" i="28" s="1"/>
  <c r="D11" i="18"/>
  <c r="D11" i="19" s="1"/>
  <c r="D77" i="13"/>
  <c r="H77" i="13" s="1"/>
  <c r="B78" i="13" s="1"/>
  <c r="E78" i="13" l="1"/>
  <c r="E11" i="19"/>
  <c r="D78" i="13" l="1"/>
  <c r="H78" i="13" s="1"/>
  <c r="B79" i="13" s="1"/>
  <c r="E79" i="13" l="1"/>
  <c r="D79" i="13" l="1"/>
  <c r="H79" i="13" s="1"/>
  <c r="B80" i="13" s="1"/>
  <c r="E80" i="13" l="1"/>
  <c r="D80" i="13" l="1"/>
  <c r="H80" i="13" s="1"/>
  <c r="B81" i="13" s="1"/>
  <c r="E81" i="13" l="1"/>
  <c r="D81" i="13" l="1"/>
  <c r="H81" i="13" s="1"/>
  <c r="B82" i="13" s="1"/>
  <c r="E82" i="13" l="1"/>
  <c r="D82" i="13" s="1"/>
  <c r="H82" i="13" s="1"/>
  <c r="B83" i="13" s="1"/>
  <c r="E83" i="13" l="1"/>
  <c r="D83" i="13" s="1"/>
  <c r="H83" i="13" s="1"/>
  <c r="B84" i="13" s="1"/>
  <c r="E84" i="13" l="1"/>
  <c r="D84" i="13" s="1"/>
  <c r="H84" i="13" s="1"/>
  <c r="B85" i="13" s="1"/>
  <c r="E85" i="13" l="1"/>
  <c r="D85" i="13" s="1"/>
  <c r="H85" i="13" s="1"/>
  <c r="B86" i="13" s="1"/>
  <c r="E86" i="13" l="1"/>
  <c r="D86" i="13" s="1"/>
  <c r="H86" i="13" s="1"/>
  <c r="B87" i="13" s="1"/>
  <c r="E87" i="13" l="1"/>
  <c r="D87" i="13" s="1"/>
  <c r="H87" i="13" s="1"/>
  <c r="B88" i="13" s="1"/>
  <c r="E88" i="13" l="1"/>
  <c r="D88" i="13" l="1"/>
  <c r="H88" i="13" s="1"/>
  <c r="G4" i="40"/>
  <c r="G5" i="40" l="1"/>
  <c r="H15" i="26" s="1"/>
  <c r="B89" i="13"/>
  <c r="I16" i="28"/>
  <c r="I9" i="28"/>
  <c r="I42" i="24"/>
  <c r="I45" i="24" s="1"/>
  <c r="I28" i="28"/>
  <c r="I29" i="28" s="1"/>
  <c r="I46" i="24" l="1"/>
  <c r="I6" i="28"/>
  <c r="I15" i="28" s="1"/>
  <c r="I18" i="28" s="1"/>
  <c r="I31" i="28" s="1"/>
  <c r="I35" i="28" s="1"/>
  <c r="H13" i="26"/>
  <c r="H17" i="26" s="1"/>
  <c r="H18" i="26" s="1"/>
  <c r="H19" i="26" s="1"/>
  <c r="E89" i="13"/>
  <c r="J33" i="28" l="1"/>
  <c r="I36" i="28"/>
  <c r="I37" i="28" s="1"/>
  <c r="D12" i="18"/>
  <c r="D12" i="19" s="1"/>
  <c r="D89" i="13"/>
  <c r="H89" i="13" s="1"/>
  <c r="B90" i="13" s="1"/>
  <c r="E12" i="19" l="1"/>
  <c r="E90" i="13"/>
  <c r="D90" i="13" l="1"/>
  <c r="H90" i="13" s="1"/>
  <c r="B91" i="13" s="1"/>
  <c r="E91" i="13" l="1"/>
  <c r="D91" i="13" l="1"/>
  <c r="H91" i="13" s="1"/>
  <c r="B92" i="13" s="1"/>
  <c r="E92" i="13" l="1"/>
  <c r="D92" i="13" l="1"/>
  <c r="H92" i="13" s="1"/>
  <c r="B93" i="13" s="1"/>
  <c r="E93" i="13" l="1"/>
  <c r="D93" i="13" l="1"/>
  <c r="H93" i="13" s="1"/>
  <c r="B94" i="13" s="1"/>
  <c r="E94" i="13" l="1"/>
  <c r="D94" i="13" s="1"/>
  <c r="H94" i="13" s="1"/>
  <c r="B95" i="13" s="1"/>
  <c r="E95" i="13" l="1"/>
  <c r="D95" i="13" s="1"/>
  <c r="H95" i="13" s="1"/>
  <c r="B96" i="13" s="1"/>
  <c r="E96" i="13" l="1"/>
  <c r="D96" i="13" s="1"/>
  <c r="H96" i="13" s="1"/>
  <c r="B97" i="13" s="1"/>
  <c r="E97" i="13" l="1"/>
  <c r="D97" i="13" s="1"/>
  <c r="H97" i="13" s="1"/>
  <c r="B98" i="13" s="1"/>
  <c r="E98" i="13" l="1"/>
  <c r="D98" i="13" s="1"/>
  <c r="H98" i="13" s="1"/>
  <c r="B99" i="13" s="1"/>
  <c r="E99" i="13" l="1"/>
  <c r="D99" i="13" s="1"/>
  <c r="H99" i="13" s="1"/>
  <c r="B100" i="13" s="1"/>
  <c r="E100" i="13" l="1"/>
  <c r="D100" i="13" l="1"/>
  <c r="H100" i="13" s="1"/>
  <c r="H4" i="40"/>
  <c r="J42" i="24" l="1"/>
  <c r="J45" i="24" s="1"/>
  <c r="J16" i="28"/>
  <c r="J9" i="28"/>
  <c r="J28" i="28"/>
  <c r="J29" i="28" s="1"/>
  <c r="H5" i="40"/>
  <c r="I15" i="26" s="1"/>
  <c r="B101" i="13"/>
  <c r="E101" i="13" l="1"/>
  <c r="J46" i="24"/>
  <c r="I13" i="26"/>
  <c r="I17" i="26" s="1"/>
  <c r="I18" i="26" s="1"/>
  <c r="I19" i="26" s="1"/>
  <c r="J6" i="28"/>
  <c r="J15" i="28" s="1"/>
  <c r="J18" i="28" s="1"/>
  <c r="J31" i="28" s="1"/>
  <c r="J35" i="28" s="1"/>
  <c r="D101" i="13" l="1"/>
  <c r="H101" i="13" s="1"/>
  <c r="B102" i="13" s="1"/>
  <c r="K33" i="28"/>
  <c r="J36" i="28"/>
  <c r="J37" i="28" s="1"/>
  <c r="D13" i="18"/>
  <c r="D13" i="19" s="1"/>
  <c r="E102" i="13" l="1"/>
  <c r="E13" i="19"/>
  <c r="D102" i="13" l="1"/>
  <c r="H102" i="13" s="1"/>
  <c r="B103" i="13" s="1"/>
  <c r="E103" i="13" l="1"/>
  <c r="D103" i="13" l="1"/>
  <c r="H103" i="13" s="1"/>
  <c r="B104" i="13" s="1"/>
  <c r="E104" i="13" l="1"/>
  <c r="D104" i="13" l="1"/>
  <c r="H104" i="13" s="1"/>
  <c r="B105" i="13" s="1"/>
  <c r="E105" i="13" l="1"/>
  <c r="D105" i="13" l="1"/>
  <c r="H105" i="13" s="1"/>
  <c r="B106" i="13" s="1"/>
  <c r="E106" i="13" l="1"/>
  <c r="D106" i="13" s="1"/>
  <c r="H106" i="13" s="1"/>
  <c r="B107" i="13" s="1"/>
  <c r="E107" i="13" l="1"/>
  <c r="D107" i="13" s="1"/>
  <c r="H107" i="13" s="1"/>
  <c r="B108" i="13" s="1"/>
  <c r="E108" i="13" l="1"/>
  <c r="D108" i="13" s="1"/>
  <c r="H108" i="13" s="1"/>
  <c r="B109" i="13" s="1"/>
  <c r="E109" i="13" l="1"/>
  <c r="D109" i="13" s="1"/>
  <c r="H109" i="13" s="1"/>
  <c r="B110" i="13" s="1"/>
  <c r="E110" i="13" l="1"/>
  <c r="D110" i="13" s="1"/>
  <c r="H110" i="13" s="1"/>
  <c r="B111" i="13" s="1"/>
  <c r="E111" i="13" l="1"/>
  <c r="D111" i="13" s="1"/>
  <c r="H111" i="13" s="1"/>
  <c r="B112" i="13" s="1"/>
  <c r="E112" i="13" l="1"/>
  <c r="D112" i="13" l="1"/>
  <c r="H112" i="13" s="1"/>
  <c r="I4" i="40"/>
  <c r="I5" i="40" l="1"/>
  <c r="J15" i="26" s="1"/>
  <c r="B113" i="13"/>
  <c r="K42" i="24"/>
  <c r="K45" i="24" s="1"/>
  <c r="K16" i="28"/>
  <c r="K9" i="28"/>
  <c r="K28" i="28"/>
  <c r="K29" i="28" s="1"/>
  <c r="K46" i="24" l="1"/>
  <c r="J13" i="26"/>
  <c r="J17" i="26" s="1"/>
  <c r="J18" i="26" s="1"/>
  <c r="J19" i="26" s="1"/>
  <c r="K6" i="28"/>
  <c r="K15" i="28" s="1"/>
  <c r="K18" i="28" s="1"/>
  <c r="K31" i="28" s="1"/>
  <c r="K35" i="28" s="1"/>
  <c r="E113" i="13"/>
  <c r="D14" i="18" l="1"/>
  <c r="D14" i="19" s="1"/>
  <c r="K36" i="28"/>
  <c r="K37" i="28" s="1"/>
  <c r="L33" i="28"/>
  <c r="D113" i="13"/>
  <c r="H113" i="13" s="1"/>
  <c r="B114" i="13" s="1"/>
  <c r="E114" i="13" l="1"/>
  <c r="E14" i="19"/>
  <c r="D114" i="13" l="1"/>
  <c r="H114" i="13" s="1"/>
  <c r="B115" i="13" s="1"/>
  <c r="E115" i="13" l="1"/>
  <c r="D115" i="13" l="1"/>
  <c r="H115" i="13" s="1"/>
  <c r="B116" i="13" s="1"/>
  <c r="E116" i="13" l="1"/>
  <c r="D116" i="13" l="1"/>
  <c r="H116" i="13" s="1"/>
  <c r="B117" i="13" s="1"/>
  <c r="E117" i="13" l="1"/>
  <c r="D117" i="13" l="1"/>
  <c r="H117" i="13" s="1"/>
  <c r="B118" i="13" s="1"/>
  <c r="E118" i="13" l="1"/>
  <c r="D118" i="13" s="1"/>
  <c r="H118" i="13" s="1"/>
  <c r="B119" i="13" s="1"/>
  <c r="E119" i="13" l="1"/>
  <c r="D119" i="13" s="1"/>
  <c r="H119" i="13" s="1"/>
  <c r="B120" i="13" s="1"/>
  <c r="E120" i="13" l="1"/>
  <c r="D120" i="13" s="1"/>
  <c r="H120" i="13" s="1"/>
  <c r="B121" i="13" s="1"/>
  <c r="E121" i="13" l="1"/>
  <c r="D121" i="13" s="1"/>
  <c r="H121" i="13" s="1"/>
  <c r="B122" i="13" s="1"/>
  <c r="E122" i="13" l="1"/>
  <c r="D122" i="13" s="1"/>
  <c r="H122" i="13" s="1"/>
  <c r="B123" i="13" s="1"/>
  <c r="E123" i="13" l="1"/>
  <c r="D123" i="13" s="1"/>
  <c r="H123" i="13" s="1"/>
  <c r="B124" i="13" s="1"/>
  <c r="E124" i="13" l="1"/>
  <c r="D124" i="13" l="1"/>
  <c r="H124" i="13" s="1"/>
  <c r="J4" i="40"/>
  <c r="J5" i="40" l="1"/>
  <c r="K15" i="26" s="1"/>
  <c r="B125" i="13"/>
  <c r="L9" i="28"/>
  <c r="L16" i="28"/>
  <c r="L42" i="24"/>
  <c r="L45" i="24" s="1"/>
  <c r="L28" i="28"/>
  <c r="L29" i="28" s="1"/>
  <c r="L46" i="24" l="1"/>
  <c r="K13" i="26"/>
  <c r="K17" i="26" s="1"/>
  <c r="K18" i="26" s="1"/>
  <c r="K19" i="26" s="1"/>
  <c r="L6" i="28"/>
  <c r="L15" i="28" s="1"/>
  <c r="L18" i="28" s="1"/>
  <c r="L31" i="28" s="1"/>
  <c r="L35" i="28" s="1"/>
  <c r="E125" i="13"/>
  <c r="L36" i="28" l="1"/>
  <c r="L37" i="28" s="1"/>
  <c r="D15" i="18"/>
  <c r="D15" i="19" s="1"/>
  <c r="M33" i="28"/>
  <c r="D125" i="13"/>
  <c r="H125" i="13" s="1"/>
  <c r="B126" i="13" s="1"/>
  <c r="E126" i="13" l="1"/>
  <c r="E15" i="19"/>
  <c r="D126" i="13" l="1"/>
  <c r="H126" i="13" s="1"/>
  <c r="B127" i="13" s="1"/>
  <c r="E127" i="13" l="1"/>
  <c r="D127" i="13" l="1"/>
  <c r="H127" i="13" s="1"/>
  <c r="B128" i="13" s="1"/>
  <c r="E128" i="13" l="1"/>
  <c r="D128" i="13" l="1"/>
  <c r="H128" i="13" s="1"/>
  <c r="B129" i="13" s="1"/>
  <c r="E129" i="13" l="1"/>
  <c r="D129" i="13" l="1"/>
  <c r="H129" i="13" s="1"/>
  <c r="B130" i="13" s="1"/>
  <c r="E130" i="13" l="1"/>
  <c r="D130" i="13" s="1"/>
  <c r="H130" i="13" s="1"/>
  <c r="B131" i="13" s="1"/>
  <c r="E131" i="13" l="1"/>
  <c r="D131" i="13" s="1"/>
  <c r="H131" i="13" s="1"/>
  <c r="B132" i="13" s="1"/>
  <c r="E132" i="13" l="1"/>
  <c r="D132" i="13" s="1"/>
  <c r="H132" i="13" s="1"/>
  <c r="B133" i="13" s="1"/>
  <c r="E133" i="13" l="1"/>
  <c r="D133" i="13" s="1"/>
  <c r="H133" i="13" s="1"/>
  <c r="B134" i="13" s="1"/>
  <c r="E134" i="13" l="1"/>
  <c r="D134" i="13" s="1"/>
  <c r="H134" i="13" s="1"/>
  <c r="B135" i="13" s="1"/>
  <c r="E135" i="13" l="1"/>
  <c r="D135" i="13" s="1"/>
  <c r="H135" i="13" s="1"/>
  <c r="B136" i="13" s="1"/>
  <c r="E136" i="13" l="1"/>
  <c r="D136" i="13" l="1"/>
  <c r="H136" i="13" s="1"/>
  <c r="K4" i="40"/>
  <c r="M16" i="28" l="1"/>
  <c r="M9" i="28"/>
  <c r="M42" i="24"/>
  <c r="M45" i="24" s="1"/>
  <c r="G32" i="2" s="1"/>
  <c r="M28" i="28"/>
  <c r="M29" i="28" s="1"/>
  <c r="K5" i="40"/>
  <c r="L15" i="26" s="1"/>
  <c r="B137" i="13"/>
  <c r="M46" i="24" l="1"/>
  <c r="L13" i="26"/>
  <c r="L17" i="26" s="1"/>
  <c r="L18" i="26" s="1"/>
  <c r="L19" i="26" s="1"/>
  <c r="M6" i="28"/>
  <c r="M15" i="28" s="1"/>
  <c r="M18" i="28" s="1"/>
  <c r="M31" i="28" s="1"/>
  <c r="M35" i="28" s="1"/>
  <c r="H32" i="2" s="1"/>
  <c r="E137" i="13"/>
  <c r="D16" i="18" l="1"/>
  <c r="M36" i="28"/>
  <c r="M37" i="28" s="1"/>
  <c r="D137" i="13"/>
  <c r="H137" i="13" s="1"/>
  <c r="B138" i="13" s="1"/>
  <c r="E138" i="13" l="1"/>
  <c r="D16" i="19"/>
  <c r="D18" i="18"/>
  <c r="D20" i="18" s="1"/>
  <c r="E28" i="2" s="1"/>
  <c r="E16" i="19" l="1"/>
  <c r="D18" i="19" s="1"/>
  <c r="D20" i="19"/>
  <c r="F28" i="2" s="1"/>
  <c r="D138" i="13"/>
  <c r="H138" i="13" s="1"/>
  <c r="B139" i="13" s="1"/>
  <c r="E139" i="13" l="1"/>
  <c r="D139" i="13" l="1"/>
  <c r="H139" i="13" s="1"/>
  <c r="B140" i="13" s="1"/>
  <c r="E140" i="13" l="1"/>
  <c r="D140" i="13" l="1"/>
  <c r="H140" i="13" s="1"/>
  <c r="B141" i="13" s="1"/>
  <c r="E141" i="13" l="1"/>
  <c r="D141" i="13" l="1"/>
  <c r="H141" i="13" s="1"/>
  <c r="B142" i="13" s="1"/>
  <c r="E142" i="13" l="1"/>
  <c r="D142" i="13" s="1"/>
  <c r="H142" i="13" s="1"/>
  <c r="B143" i="13" s="1"/>
  <c r="E143" i="13" l="1"/>
  <c r="D143" i="13" s="1"/>
  <c r="H143" i="13" s="1"/>
  <c r="B144" i="13" s="1"/>
  <c r="E144" i="13" l="1"/>
  <c r="D144" i="13" s="1"/>
  <c r="H144" i="13" s="1"/>
  <c r="B145" i="13" s="1"/>
  <c r="E145" i="13" l="1"/>
  <c r="D145" i="13" s="1"/>
  <c r="H145" i="13" s="1"/>
  <c r="B146" i="13" s="1"/>
  <c r="E146" i="13" l="1"/>
  <c r="D146" i="13" s="1"/>
  <c r="H146" i="13" s="1"/>
  <c r="B147" i="13" s="1"/>
  <c r="E147" i="13" l="1"/>
  <c r="D147" i="13" s="1"/>
  <c r="H147" i="13" s="1"/>
  <c r="B148" i="13" s="1"/>
  <c r="E148" i="13" l="1"/>
  <c r="D148" i="13" l="1"/>
  <c r="H148" i="13" s="1"/>
  <c r="L4" i="40"/>
  <c r="L5" i="40" l="1"/>
  <c r="B149" i="13"/>
  <c r="E149" i="13" l="1"/>
  <c r="D149" i="13" l="1"/>
  <c r="H149" i="13" s="1"/>
  <c r="B150" i="13" s="1"/>
  <c r="E150" i="13" l="1"/>
  <c r="D150" i="13" l="1"/>
  <c r="H150" i="13" s="1"/>
  <c r="B151" i="13" s="1"/>
  <c r="E151" i="13" l="1"/>
  <c r="D151" i="13" l="1"/>
  <c r="H151" i="13" s="1"/>
  <c r="B152" i="13" s="1"/>
  <c r="E152" i="13" l="1"/>
  <c r="D152" i="13" l="1"/>
  <c r="H152" i="13" s="1"/>
  <c r="B153" i="13" s="1"/>
  <c r="E153" i="13" l="1"/>
  <c r="D153" i="13" l="1"/>
  <c r="H153" i="13" s="1"/>
  <c r="B154" i="13" s="1"/>
  <c r="E154" i="13" l="1"/>
  <c r="D154" i="13" s="1"/>
  <c r="H154" i="13" s="1"/>
  <c r="B155" i="13" s="1"/>
  <c r="E155" i="13" l="1"/>
  <c r="D155" i="13" s="1"/>
  <c r="H155" i="13" s="1"/>
  <c r="B156" i="13" s="1"/>
  <c r="E156" i="13" l="1"/>
  <c r="D156" i="13" s="1"/>
  <c r="H156" i="13" s="1"/>
  <c r="B157" i="13" s="1"/>
  <c r="E157" i="13" l="1"/>
  <c r="D157" i="13" s="1"/>
  <c r="H157" i="13" s="1"/>
  <c r="B158" i="13" s="1"/>
  <c r="E158" i="13" l="1"/>
  <c r="D158" i="13" s="1"/>
  <c r="H158" i="13" s="1"/>
  <c r="B159" i="13" s="1"/>
  <c r="E159" i="13" l="1"/>
  <c r="D159" i="13" s="1"/>
  <c r="H159" i="13" s="1"/>
  <c r="B160" i="13" s="1"/>
  <c r="E160" i="13" l="1"/>
  <c r="D160" i="13" l="1"/>
  <c r="H160" i="13" s="1"/>
  <c r="M4" i="40"/>
  <c r="M5" i="40" l="1"/>
  <c r="B161" i="13"/>
  <c r="E161" i="13" l="1"/>
  <c r="D161" i="13" l="1"/>
  <c r="H161" i="13" s="1"/>
  <c r="B162" i="13" s="1"/>
  <c r="E162" i="13" l="1"/>
  <c r="D162" i="13" l="1"/>
  <c r="H162" i="13" s="1"/>
  <c r="B163" i="13" s="1"/>
  <c r="E163" i="13" l="1"/>
  <c r="D163" i="13" l="1"/>
  <c r="H163" i="13" s="1"/>
  <c r="B164" i="13" s="1"/>
  <c r="E164" i="13" l="1"/>
  <c r="D164" i="13" l="1"/>
  <c r="H164" i="13" s="1"/>
  <c r="B165" i="13" s="1"/>
  <c r="E165" i="13" l="1"/>
  <c r="D165" i="13" l="1"/>
  <c r="H165" i="13" s="1"/>
  <c r="B166" i="13" s="1"/>
  <c r="E166" i="13" l="1"/>
  <c r="D166" i="13" s="1"/>
  <c r="H166" i="13" s="1"/>
  <c r="B167" i="13" s="1"/>
  <c r="E167" i="13" l="1"/>
  <c r="D167" i="13" s="1"/>
  <c r="H167" i="13" s="1"/>
  <c r="B168" i="13" s="1"/>
  <c r="E168" i="13" l="1"/>
  <c r="D168" i="13" s="1"/>
  <c r="H168" i="13" s="1"/>
  <c r="B169" i="13" s="1"/>
  <c r="E169" i="13" l="1"/>
  <c r="D169" i="13" s="1"/>
  <c r="H169" i="13" s="1"/>
  <c r="B170" i="13" s="1"/>
  <c r="E170" i="13" l="1"/>
  <c r="D170" i="13" s="1"/>
  <c r="H170" i="13" s="1"/>
  <c r="B171" i="13" s="1"/>
  <c r="E171" i="13" l="1"/>
  <c r="D171" i="13" s="1"/>
  <c r="H171" i="13" s="1"/>
  <c r="B172" i="13" s="1"/>
  <c r="E172" i="13" l="1"/>
  <c r="D172" i="13" l="1"/>
  <c r="H172" i="13" s="1"/>
  <c r="N4" i="40"/>
  <c r="N5" i="40" l="1"/>
  <c r="B173" i="13"/>
  <c r="E173" i="13" l="1"/>
  <c r="D173" i="13" l="1"/>
  <c r="H173" i="13" s="1"/>
  <c r="B174" i="13" s="1"/>
  <c r="E174" i="13" l="1"/>
  <c r="D174" i="13" l="1"/>
  <c r="H174" i="13" s="1"/>
  <c r="B175" i="13" s="1"/>
  <c r="E175" i="13" l="1"/>
  <c r="D175" i="13" l="1"/>
  <c r="H175" i="13" s="1"/>
  <c r="B176" i="13" s="1"/>
  <c r="E176" i="13" l="1"/>
  <c r="D176" i="13" l="1"/>
  <c r="H176" i="13" s="1"/>
  <c r="B177" i="13" s="1"/>
  <c r="E177" i="13" l="1"/>
  <c r="D177" i="13" l="1"/>
  <c r="H177" i="13" s="1"/>
  <c r="B178" i="13" s="1"/>
  <c r="E178" i="13" l="1"/>
  <c r="D178" i="13" s="1"/>
  <c r="H178" i="13" s="1"/>
  <c r="B179" i="13" s="1"/>
  <c r="E179" i="13" l="1"/>
  <c r="D179" i="13" s="1"/>
  <c r="H179" i="13" s="1"/>
  <c r="B180" i="13" s="1"/>
  <c r="E180" i="13" l="1"/>
  <c r="D180" i="13" s="1"/>
  <c r="H180" i="13" s="1"/>
  <c r="B181" i="13" s="1"/>
  <c r="E181" i="13" l="1"/>
  <c r="D181" i="13" s="1"/>
  <c r="H181" i="13" s="1"/>
  <c r="B182" i="13" s="1"/>
  <c r="E182" i="13" l="1"/>
  <c r="D182" i="13" s="1"/>
  <c r="H182" i="13" s="1"/>
  <c r="B183" i="13" s="1"/>
  <c r="E183" i="13" l="1"/>
  <c r="D183" i="13" s="1"/>
  <c r="H183" i="13" s="1"/>
  <c r="B184" i="13" s="1"/>
  <c r="E184" i="13" l="1"/>
  <c r="D184" i="13" l="1"/>
  <c r="H184" i="13" s="1"/>
  <c r="O4" i="40"/>
  <c r="O5" i="40" l="1"/>
  <c r="B185" i="13"/>
  <c r="E185" i="13" l="1"/>
  <c r="D185" i="13" l="1"/>
  <c r="H185" i="13" s="1"/>
  <c r="B186" i="13" s="1"/>
  <c r="E186" i="13" l="1"/>
  <c r="D186" i="13" l="1"/>
  <c r="H186" i="13" s="1"/>
  <c r="B187" i="13" s="1"/>
  <c r="E187" i="13" l="1"/>
  <c r="D187" i="13" l="1"/>
  <c r="H187" i="13" s="1"/>
  <c r="B188" i="13" s="1"/>
  <c r="E188" i="13" l="1"/>
  <c r="D188" i="13" l="1"/>
  <c r="H188" i="13" s="1"/>
  <c r="B189" i="13" s="1"/>
  <c r="E189" i="13" l="1"/>
  <c r="D189" i="13" l="1"/>
  <c r="H189" i="13" s="1"/>
  <c r="B190" i="13" s="1"/>
  <c r="E190" i="13" l="1"/>
  <c r="D190" i="13" s="1"/>
  <c r="H190" i="13" s="1"/>
  <c r="B191" i="13" s="1"/>
  <c r="E191" i="13" l="1"/>
  <c r="D191" i="13" s="1"/>
  <c r="H191" i="13" s="1"/>
  <c r="B192" i="13" s="1"/>
  <c r="E192" i="13" l="1"/>
  <c r="D192" i="13" s="1"/>
  <c r="H192" i="13" s="1"/>
  <c r="B193" i="13" s="1"/>
  <c r="E193" i="13" l="1"/>
  <c r="D193" i="13" s="1"/>
  <c r="H193" i="13" s="1"/>
  <c r="B194" i="13" s="1"/>
  <c r="E194" i="13" l="1"/>
  <c r="D194" i="13" s="1"/>
  <c r="H194" i="13" s="1"/>
  <c r="B195" i="13" s="1"/>
  <c r="E195" i="13" l="1"/>
  <c r="D195" i="13" s="1"/>
  <c r="H195" i="13" s="1"/>
  <c r="B196" i="13" s="1"/>
  <c r="E196" i="13" l="1"/>
  <c r="D196" i="13" l="1"/>
  <c r="H196" i="13" s="1"/>
  <c r="P4" i="40"/>
  <c r="P5" i="40" l="1"/>
  <c r="B197" i="13"/>
  <c r="E197" i="13" l="1"/>
  <c r="D197" i="13" l="1"/>
  <c r="H197" i="13" s="1"/>
  <c r="B198" i="13" s="1"/>
  <c r="E198" i="13" l="1"/>
  <c r="D198" i="13" l="1"/>
  <c r="H198" i="13" s="1"/>
  <c r="B199" i="13" s="1"/>
  <c r="E199" i="13" l="1"/>
  <c r="D199" i="13" l="1"/>
  <c r="H199" i="13" s="1"/>
  <c r="B200" i="13" s="1"/>
  <c r="E200" i="13" l="1"/>
  <c r="D200" i="13" l="1"/>
  <c r="H200" i="13" s="1"/>
  <c r="B201" i="13" s="1"/>
  <c r="E201" i="13" l="1"/>
  <c r="D201" i="13" l="1"/>
  <c r="H201" i="13" s="1"/>
  <c r="B202" i="13" s="1"/>
  <c r="E202" i="13" l="1"/>
  <c r="D202" i="13" s="1"/>
  <c r="H202" i="13" s="1"/>
  <c r="B203" i="13" s="1"/>
  <c r="E203" i="13" l="1"/>
  <c r="D203" i="13" s="1"/>
  <c r="H203" i="13" s="1"/>
  <c r="B204" i="13" s="1"/>
  <c r="E204" i="13" l="1"/>
  <c r="D204" i="13" s="1"/>
  <c r="H204" i="13" s="1"/>
  <c r="B205" i="13" s="1"/>
  <c r="E205" i="13" l="1"/>
  <c r="D205" i="13" s="1"/>
  <c r="H205" i="13" s="1"/>
  <c r="B206" i="13" s="1"/>
  <c r="E206" i="13" l="1"/>
  <c r="D206" i="13" s="1"/>
  <c r="H206" i="13" s="1"/>
  <c r="B207" i="13" s="1"/>
  <c r="E207" i="13" l="1"/>
  <c r="D207" i="13" s="1"/>
  <c r="H207" i="13" s="1"/>
  <c r="B208" i="13" s="1"/>
  <c r="E208" i="13" l="1"/>
  <c r="D208" i="13" l="1"/>
  <c r="H208" i="13" s="1"/>
  <c r="Q4" i="40"/>
  <c r="Q5" i="40" l="1"/>
  <c r="B209" i="13"/>
  <c r="E209" i="13" l="1"/>
  <c r="D209" i="13" l="1"/>
  <c r="H209" i="13" s="1"/>
  <c r="B210" i="13" s="1"/>
  <c r="E210" i="13" l="1"/>
  <c r="D210" i="13" l="1"/>
  <c r="H210" i="13" s="1"/>
  <c r="B211" i="13" s="1"/>
  <c r="E211" i="13" l="1"/>
  <c r="D211" i="13" l="1"/>
  <c r="H211" i="13" s="1"/>
  <c r="B212" i="13" s="1"/>
  <c r="E212" i="13" l="1"/>
  <c r="D212" i="13" l="1"/>
  <c r="H212" i="13" s="1"/>
  <c r="B213" i="13" s="1"/>
  <c r="E213" i="13" l="1"/>
  <c r="D213" i="13" l="1"/>
  <c r="H213" i="13" s="1"/>
  <c r="B214" i="13" s="1"/>
  <c r="E214" i="13" l="1"/>
  <c r="D214" i="13" s="1"/>
  <c r="H214" i="13" s="1"/>
  <c r="B215" i="13" s="1"/>
  <c r="E215" i="13" l="1"/>
  <c r="D215" i="13" s="1"/>
  <c r="H215" i="13" s="1"/>
  <c r="B216" i="13" s="1"/>
  <c r="E216" i="13" l="1"/>
  <c r="D216" i="13" s="1"/>
  <c r="H216" i="13" s="1"/>
  <c r="B217" i="13" s="1"/>
  <c r="E217" i="13" l="1"/>
  <c r="D217" i="13" s="1"/>
  <c r="H217" i="13" s="1"/>
  <c r="B218" i="13" s="1"/>
  <c r="E218" i="13" l="1"/>
  <c r="D218" i="13" s="1"/>
  <c r="H218" i="13" s="1"/>
  <c r="B219" i="13" s="1"/>
  <c r="E219" i="13" l="1"/>
  <c r="D219" i="13" s="1"/>
  <c r="H219" i="13" s="1"/>
  <c r="B220" i="13" s="1"/>
  <c r="E220" i="13" l="1"/>
  <c r="D220" i="13" l="1"/>
  <c r="H220" i="13" s="1"/>
  <c r="R4" i="40"/>
  <c r="R5" i="40" l="1"/>
  <c r="B221" i="13"/>
  <c r="E221" i="13" l="1"/>
  <c r="D221" i="13" l="1"/>
  <c r="H221" i="13" s="1"/>
  <c r="B222" i="13" s="1"/>
  <c r="E222" i="13" l="1"/>
  <c r="D222" i="13" l="1"/>
  <c r="H222" i="13" s="1"/>
  <c r="B223" i="13" s="1"/>
  <c r="E223" i="13" l="1"/>
  <c r="D223" i="13" l="1"/>
  <c r="H223" i="13" s="1"/>
  <c r="B224" i="13" s="1"/>
  <c r="E224" i="13" l="1"/>
  <c r="D224" i="13" l="1"/>
  <c r="H224" i="13" s="1"/>
  <c r="B225" i="13" s="1"/>
  <c r="E225" i="13" l="1"/>
  <c r="D225" i="13" l="1"/>
  <c r="H225" i="13" s="1"/>
  <c r="B226" i="13" s="1"/>
  <c r="E226" i="13" l="1"/>
  <c r="D226" i="13" s="1"/>
  <c r="H226" i="13" s="1"/>
  <c r="B227" i="13" s="1"/>
  <c r="E227" i="13" l="1"/>
  <c r="D227" i="13" s="1"/>
  <c r="H227" i="13" s="1"/>
  <c r="B228" i="13" s="1"/>
  <c r="E228" i="13" l="1"/>
  <c r="D228" i="13" s="1"/>
  <c r="H228" i="13" s="1"/>
  <c r="B229" i="13" s="1"/>
  <c r="E229" i="13" l="1"/>
  <c r="D229" i="13" s="1"/>
  <c r="H229" i="13" s="1"/>
  <c r="B230" i="13" s="1"/>
  <c r="E230" i="13" l="1"/>
  <c r="D230" i="13" s="1"/>
  <c r="H230" i="13" s="1"/>
  <c r="B231" i="13" s="1"/>
  <c r="E231" i="13" l="1"/>
  <c r="D231" i="13" s="1"/>
  <c r="H231" i="13" s="1"/>
  <c r="B232" i="13" s="1"/>
  <c r="E232" i="13" l="1"/>
  <c r="D232" i="13" l="1"/>
  <c r="H232" i="13" s="1"/>
  <c r="S4" i="40"/>
  <c r="S5" i="40" l="1"/>
  <c r="B233" i="13"/>
  <c r="E233" i="13" l="1"/>
  <c r="D233" i="13" l="1"/>
  <c r="H233" i="13" s="1"/>
  <c r="B234" i="13" s="1"/>
  <c r="E234" i="13" l="1"/>
  <c r="D234" i="13" l="1"/>
  <c r="H234" i="13" s="1"/>
  <c r="B235" i="13" s="1"/>
  <c r="E235" i="13" l="1"/>
  <c r="D235" i="13" l="1"/>
  <c r="H235" i="13" s="1"/>
  <c r="B236" i="13" s="1"/>
  <c r="E236" i="13" l="1"/>
  <c r="D236" i="13" l="1"/>
  <c r="H236" i="13" s="1"/>
  <c r="B237" i="13" s="1"/>
  <c r="E237" i="13" l="1"/>
  <c r="D237" i="13" l="1"/>
  <c r="H237" i="13" s="1"/>
  <c r="B238" i="13" s="1"/>
  <c r="E238" i="13" l="1"/>
  <c r="D238" i="13" s="1"/>
  <c r="H238" i="13" s="1"/>
  <c r="B239" i="13" s="1"/>
  <c r="E239" i="13" l="1"/>
  <c r="D239" i="13" s="1"/>
  <c r="H239" i="13" s="1"/>
  <c r="B240" i="13" s="1"/>
  <c r="E240" i="13" l="1"/>
  <c r="D240" i="13" s="1"/>
  <c r="H240" i="13" s="1"/>
  <c r="B241" i="13" s="1"/>
  <c r="E241" i="13" l="1"/>
  <c r="D241" i="13" s="1"/>
  <c r="H241" i="13" s="1"/>
  <c r="B242" i="13" s="1"/>
  <c r="E242" i="13" l="1"/>
  <c r="D242" i="13" s="1"/>
  <c r="H242" i="13" s="1"/>
  <c r="B243" i="13" s="1"/>
  <c r="E243" i="13" l="1"/>
  <c r="D243" i="13" s="1"/>
  <c r="H243" i="13" s="1"/>
  <c r="B244" i="13" s="1"/>
  <c r="E244" i="13" l="1"/>
  <c r="D244" i="13" l="1"/>
  <c r="H244" i="13" s="1"/>
  <c r="T4" i="40"/>
  <c r="B245" i="13" l="1"/>
  <c r="T5" i="40"/>
  <c r="E245" i="13" l="1"/>
  <c r="D245" i="13" l="1"/>
  <c r="H245" i="13" s="1"/>
  <c r="B246" i="13" s="1"/>
  <c r="E246" i="13" l="1"/>
  <c r="D246" i="13" l="1"/>
  <c r="H246" i="13" s="1"/>
  <c r="B247" i="13" s="1"/>
  <c r="E247" i="13" l="1"/>
  <c r="D247" i="13" l="1"/>
  <c r="H247" i="13" s="1"/>
  <c r="B248" i="13" s="1"/>
  <c r="E248" i="13" l="1"/>
  <c r="D248" i="13" l="1"/>
  <c r="H248" i="13" s="1"/>
  <c r="B249" i="13" s="1"/>
  <c r="E249" i="13" l="1"/>
  <c r="D249" i="13" l="1"/>
  <c r="H249" i="13" s="1"/>
  <c r="B250" i="13" s="1"/>
  <c r="E250" i="13" l="1"/>
  <c r="D250" i="13" s="1"/>
  <c r="H250" i="13" s="1"/>
  <c r="B251" i="13" s="1"/>
  <c r="E251" i="13" l="1"/>
  <c r="D251" i="13" s="1"/>
  <c r="H251" i="13" s="1"/>
  <c r="B252" i="13" s="1"/>
  <c r="E252" i="13" l="1"/>
  <c r="D252" i="13" s="1"/>
  <c r="H252" i="13" s="1"/>
  <c r="B253" i="13" s="1"/>
  <c r="E253" i="13" l="1"/>
  <c r="D253" i="13" s="1"/>
  <c r="H253" i="13" s="1"/>
  <c r="B254" i="13" s="1"/>
  <c r="E254" i="13" l="1"/>
  <c r="D254" i="13" s="1"/>
  <c r="H254" i="13" s="1"/>
  <c r="B255" i="13" s="1"/>
  <c r="E255" i="13" l="1"/>
  <c r="D255" i="13" s="1"/>
  <c r="H255" i="13" s="1"/>
  <c r="B256" i="13" s="1"/>
  <c r="E256" i="13" l="1"/>
  <c r="D256" i="13" l="1"/>
  <c r="H256" i="13" s="1"/>
  <c r="U5" i="40" s="1"/>
  <c r="U4" i="40"/>
</calcChain>
</file>

<file path=xl/sharedStrings.xml><?xml version="1.0" encoding="utf-8"?>
<sst xmlns="http://schemas.openxmlformats.org/spreadsheetml/2006/main" count="1260" uniqueCount="625">
  <si>
    <t>Economic Analysis Model For the R&amp;D aquaculture projects</t>
  </si>
  <si>
    <t>Location</t>
  </si>
  <si>
    <t>Skills level</t>
  </si>
  <si>
    <t>Price</t>
  </si>
  <si>
    <t>Applicant's Profile</t>
  </si>
  <si>
    <t>Quick Facts</t>
  </si>
  <si>
    <t>Interest Rate</t>
  </si>
  <si>
    <t>Profitability Index</t>
  </si>
  <si>
    <t>Price per Unit (R)</t>
  </si>
  <si>
    <t>Infrastructure</t>
  </si>
  <si>
    <t>Electricity</t>
  </si>
  <si>
    <t>Cost</t>
  </si>
  <si>
    <t>Year 1</t>
  </si>
  <si>
    <t>Year 2</t>
  </si>
  <si>
    <t>Year 3</t>
  </si>
  <si>
    <t>Year 4</t>
  </si>
  <si>
    <t>Year 5</t>
  </si>
  <si>
    <t>Year 6</t>
  </si>
  <si>
    <t>Year 7</t>
  </si>
  <si>
    <t>Months</t>
  </si>
  <si>
    <t>Total</t>
  </si>
  <si>
    <t>Year 8</t>
  </si>
  <si>
    <t>Year 9</t>
  </si>
  <si>
    <t>Year 10</t>
  </si>
  <si>
    <t>Freshwater Ornamental</t>
  </si>
  <si>
    <t>&lt;Please Select a Species&gt;</t>
  </si>
  <si>
    <t xml:space="preserve"> Recirculation Aquaculture System (RAS)</t>
  </si>
  <si>
    <t>Pond culture</t>
  </si>
  <si>
    <t>Local Markets</t>
  </si>
  <si>
    <t>International Markets</t>
  </si>
  <si>
    <t>&lt;Please Select a Location&gt;</t>
  </si>
  <si>
    <t>Gauteng</t>
  </si>
  <si>
    <t>Limpopo</t>
  </si>
  <si>
    <t>Northern Cape</t>
  </si>
  <si>
    <t>Western Cape</t>
  </si>
  <si>
    <t>Eastern Cape</t>
  </si>
  <si>
    <t>North West</t>
  </si>
  <si>
    <t>The Free State</t>
  </si>
  <si>
    <t>KwaZulu-Natal</t>
  </si>
  <si>
    <t>Mpumalanga</t>
  </si>
  <si>
    <t>Start-Up</t>
  </si>
  <si>
    <t>Existing</t>
  </si>
  <si>
    <t>&lt;Please Select a Skills Level&gt;</t>
  </si>
  <si>
    <t>Operational Status</t>
  </si>
  <si>
    <t>No skills in Aquaculture</t>
  </si>
  <si>
    <t>Work experience (1-2 years)</t>
  </si>
  <si>
    <t>Work experience (3-5 years)</t>
  </si>
  <si>
    <t>Work experience (over 5 years)</t>
  </si>
  <si>
    <t>Formal education (certificate, diploma, degrees)</t>
  </si>
  <si>
    <t>Existing Farm</t>
  </si>
  <si>
    <t>Yes</t>
  </si>
  <si>
    <t>No</t>
  </si>
  <si>
    <t>Investor</t>
  </si>
  <si>
    <t>&lt;Do you already have a investor?&gt;</t>
  </si>
  <si>
    <t>Financial Aspects</t>
  </si>
  <si>
    <t>Operational Aspects</t>
  </si>
  <si>
    <t>RAS</t>
  </si>
  <si>
    <t>Pond</t>
  </si>
  <si>
    <t>INVESTOR?</t>
  </si>
  <si>
    <t>Higher Production Factor</t>
  </si>
  <si>
    <t>PRIME INTEREST</t>
  </si>
  <si>
    <t>NETT INTEREST RATE</t>
  </si>
  <si>
    <t>NETT ESCALATED PRODUCTION FACTOR</t>
  </si>
  <si>
    <t>ESTABLISHED FACILITY?</t>
  </si>
  <si>
    <t>Interest Rate Effect</t>
  </si>
  <si>
    <t>EXISTING SITE?</t>
  </si>
  <si>
    <t>SKILLED WORKERS?</t>
  </si>
  <si>
    <t>CURRENT PRODUCTION FACTOR</t>
  </si>
  <si>
    <t>RISK FACTORS</t>
  </si>
  <si>
    <t>Year 1 loan</t>
  </si>
  <si>
    <t>Balance:</t>
  </si>
  <si>
    <t>Interest rate:</t>
  </si>
  <si>
    <t>Periods:</t>
  </si>
  <si>
    <t>Monthly Payment:</t>
  </si>
  <si>
    <t>Loan Amortization schedule</t>
  </si>
  <si>
    <t>Loan Amount</t>
  </si>
  <si>
    <t>Interest rate</t>
  </si>
  <si>
    <t>Payments</t>
  </si>
  <si>
    <t>Payment Number</t>
  </si>
  <si>
    <t>Beginning Balance</t>
  </si>
  <si>
    <t>Payment</t>
  </si>
  <si>
    <t>Principal</t>
  </si>
  <si>
    <t>interest</t>
  </si>
  <si>
    <t>Cumulative Principal</t>
  </si>
  <si>
    <t>Cumulative Interest</t>
  </si>
  <si>
    <t>Ending Balance</t>
  </si>
  <si>
    <t>IRR CALCULATION</t>
  </si>
  <si>
    <t>Period</t>
  </si>
  <si>
    <t>Nett cash Flow for period</t>
  </si>
  <si>
    <t>Initial Investment</t>
  </si>
  <si>
    <t>TOTAL NETT INFLOW</t>
  </si>
  <si>
    <t>IRR</t>
  </si>
  <si>
    <t>2016 REPO Rate</t>
  </si>
  <si>
    <t>NPV &amp; PI Index</t>
  </si>
  <si>
    <t>Discounted Cash Flow</t>
  </si>
  <si>
    <t xml:space="preserve"> </t>
  </si>
  <si>
    <t>NETT PRESENT VALUE</t>
  </si>
  <si>
    <t>GENERAL ASSUMPTIONS</t>
  </si>
  <si>
    <t>CPI</t>
  </si>
  <si>
    <t xml:space="preserve"> CPI in percentage</t>
  </si>
  <si>
    <t>Business Tax</t>
  </si>
  <si>
    <t>Electricity  (per kWh)</t>
  </si>
  <si>
    <t>HUMAN RESOURCES</t>
  </si>
  <si>
    <t>Salary</t>
  </si>
  <si>
    <t>No. of employees</t>
  </si>
  <si>
    <t>Medium skilled</t>
  </si>
  <si>
    <t>Low skilled</t>
  </si>
  <si>
    <t>Equipment</t>
  </si>
  <si>
    <t>Moveable Assets</t>
  </si>
  <si>
    <t>Assumption: Working Capital -RAS</t>
  </si>
  <si>
    <t>Debtors Recovery Rate</t>
  </si>
  <si>
    <t>RateRecovery Period</t>
  </si>
  <si>
    <t>YEAR 1</t>
  </si>
  <si>
    <t>YEAR 2</t>
  </si>
  <si>
    <t>YEAR 3</t>
  </si>
  <si>
    <t>YEAR 4</t>
  </si>
  <si>
    <t>YEAR 5</t>
  </si>
  <si>
    <t>YEAR 6</t>
  </si>
  <si>
    <t>YEAR 7</t>
  </si>
  <si>
    <t>YEAR 8</t>
  </si>
  <si>
    <t>YEAR 9</t>
  </si>
  <si>
    <t>YEAR 10</t>
  </si>
  <si>
    <t>INCOME</t>
  </si>
  <si>
    <t>EFFECT ON CASH</t>
  </si>
  <si>
    <t>DEBTORS</t>
  </si>
  <si>
    <t>Assumption: Working Capital_POND</t>
  </si>
  <si>
    <t>Item</t>
  </si>
  <si>
    <t>Units</t>
  </si>
  <si>
    <t>TOTAL</t>
  </si>
  <si>
    <t>Number of units</t>
  </si>
  <si>
    <t>Grow-out containment number (m3)</t>
  </si>
  <si>
    <t>Water quality testing equipment</t>
  </si>
  <si>
    <t>Buckets/drums</t>
  </si>
  <si>
    <t>Vehicle</t>
  </si>
  <si>
    <t>Month 1</t>
  </si>
  <si>
    <t>Month 2</t>
  </si>
  <si>
    <t>Month 3</t>
  </si>
  <si>
    <t>Month 4</t>
  </si>
  <si>
    <t>Month 5</t>
  </si>
  <si>
    <t>Month 6</t>
  </si>
  <si>
    <t>Month 7</t>
  </si>
  <si>
    <t>Month 8</t>
  </si>
  <si>
    <t>Month 9</t>
  </si>
  <si>
    <t>Month 10</t>
  </si>
  <si>
    <t>Month 11</t>
  </si>
  <si>
    <t>Month 12</t>
  </si>
  <si>
    <t>Income from Sales:</t>
  </si>
  <si>
    <t>TOTAL INCOME:</t>
  </si>
  <si>
    <t>VARIABLE COSTS:</t>
  </si>
  <si>
    <t>Feed</t>
  </si>
  <si>
    <t>TOTAL VARIABLE COST:</t>
  </si>
  <si>
    <t>FIXED COSTS:</t>
  </si>
  <si>
    <t>Salaries - Staff</t>
  </si>
  <si>
    <t>Telephone Expenses</t>
  </si>
  <si>
    <t>Security (specific to facility)</t>
  </si>
  <si>
    <t>Health and safety apparel</t>
  </si>
  <si>
    <t>stationary</t>
  </si>
  <si>
    <t>Cleaning materials</t>
  </si>
  <si>
    <t>Bank Charges</t>
  </si>
  <si>
    <t>Marketing</t>
  </si>
  <si>
    <t>Reserve &amp; Unforeseen Cost</t>
  </si>
  <si>
    <t>TOTAL FIXED COST:</t>
  </si>
  <si>
    <t>TOTAL EXPENSES:</t>
  </si>
  <si>
    <t>PROFIT OR LOSS:</t>
  </si>
  <si>
    <t>Projected Income Statement</t>
  </si>
  <si>
    <t>Year</t>
  </si>
  <si>
    <t>Revenue</t>
  </si>
  <si>
    <t>Total Revenue</t>
  </si>
  <si>
    <t>Variable Costs (Cost of Sales)</t>
  </si>
  <si>
    <t>Total Variable Costs (Cost of Sales)</t>
  </si>
  <si>
    <t>Gross Profit</t>
  </si>
  <si>
    <t>Gross Profit %</t>
  </si>
  <si>
    <t>Fixed Costs</t>
  </si>
  <si>
    <t>Salaries and wages</t>
  </si>
  <si>
    <t>General Expenses</t>
  </si>
  <si>
    <t>Total Fixed Costs</t>
  </si>
  <si>
    <t>Depreciation</t>
  </si>
  <si>
    <t>Profit / (Loss) before Interest &amp; Tax</t>
  </si>
  <si>
    <t>Taxation</t>
  </si>
  <si>
    <t>Profit / (Loss) for the year</t>
  </si>
  <si>
    <t>Profit / (Loss) %</t>
  </si>
  <si>
    <t>Projected Balance Sheet</t>
  </si>
  <si>
    <t>Fixed Assets</t>
  </si>
  <si>
    <t>Net Property, Plant &amp; Equipment</t>
  </si>
  <si>
    <t>Current Assets</t>
  </si>
  <si>
    <t>Inventory</t>
  </si>
  <si>
    <t>Debtors</t>
  </si>
  <si>
    <t>Cash</t>
  </si>
  <si>
    <t>Equity &amp; Liabilities</t>
  </si>
  <si>
    <t>Retained Earnings</t>
  </si>
  <si>
    <t>Deferred Income</t>
  </si>
  <si>
    <t>Provision for Taxation</t>
  </si>
  <si>
    <t>Projected Cash Flow Statement</t>
  </si>
  <si>
    <t>Cash flows from operating activities</t>
  </si>
  <si>
    <t>Adjustment for non-cash expenses:</t>
  </si>
  <si>
    <t>Changes in operating assets &amp; liabilities</t>
  </si>
  <si>
    <t>Receivables (INCREASE)/DECREASE</t>
  </si>
  <si>
    <t>Payables</t>
  </si>
  <si>
    <t>Cash generated from operations</t>
  </si>
  <si>
    <t>Interest paid</t>
  </si>
  <si>
    <t>Taxation paid</t>
  </si>
  <si>
    <t>Net cash from operating activities</t>
  </si>
  <si>
    <t>Cash flows from investing activities</t>
  </si>
  <si>
    <t>Purchases of property, plant &amp; equipment</t>
  </si>
  <si>
    <t>Net cash used in investing activities</t>
  </si>
  <si>
    <t>Cash flows from financing activities</t>
  </si>
  <si>
    <t>Proceeds from shareholders' contributions</t>
  </si>
  <si>
    <t>Net cash from financing activities</t>
  </si>
  <si>
    <t>Increase / (Decrease) in cash equivalents</t>
  </si>
  <si>
    <t>Cash &amp; cash equivalents at beginning of year</t>
  </si>
  <si>
    <t>Cash &amp; cash equivalents at end of year</t>
  </si>
  <si>
    <t>DIFF</t>
  </si>
  <si>
    <t>LABOUR:</t>
  </si>
  <si>
    <t>Employees:</t>
  </si>
  <si>
    <t>Annual Cost: Year 1</t>
  </si>
  <si>
    <t>Year 2:</t>
  </si>
  <si>
    <t>Annual Cost: Year 2</t>
  </si>
  <si>
    <t>Year 3:</t>
  </si>
  <si>
    <t>Annual Cost: Year 3</t>
  </si>
  <si>
    <t>Year 4:</t>
  </si>
  <si>
    <t>Annual Cost: Year 4</t>
  </si>
  <si>
    <t>Annual Cost: Year 5</t>
  </si>
  <si>
    <t>Annual Cost: Year 6</t>
  </si>
  <si>
    <t>Annual Cost: Year 7</t>
  </si>
  <si>
    <t>Annual Cost: Year 8</t>
  </si>
  <si>
    <t>Annual Cost: Year 9</t>
  </si>
  <si>
    <t>Annual Cost: Year 10</t>
  </si>
  <si>
    <t>Skilled Workers</t>
  </si>
  <si>
    <t>Medium Skilled</t>
  </si>
  <si>
    <t>Low Skilled</t>
  </si>
  <si>
    <t>HR</t>
  </si>
  <si>
    <t>No. of Employees:</t>
  </si>
  <si>
    <t>Managers:</t>
  </si>
  <si>
    <t>Staff:</t>
  </si>
  <si>
    <t>Total:</t>
  </si>
  <si>
    <t>Useful Lifetime in Years</t>
  </si>
  <si>
    <t>Rate</t>
  </si>
  <si>
    <t>WORKING CAPITAL</t>
  </si>
  <si>
    <t>Items</t>
  </si>
  <si>
    <t>YEARS</t>
  </si>
  <si>
    <t>LOAN</t>
  </si>
  <si>
    <t>OPERATIONAL</t>
  </si>
  <si>
    <t>SKILLS LEVEL</t>
  </si>
  <si>
    <t>FARM</t>
  </si>
  <si>
    <t>FINANCING</t>
  </si>
  <si>
    <t>PROFITABILITY INDEX/COST-BENEFIT RATIO</t>
  </si>
  <si>
    <t>INTEREST RATE</t>
  </si>
  <si>
    <t>PAYBACK PERIOD</t>
  </si>
  <si>
    <t>OPERATING PERMITS</t>
  </si>
  <si>
    <t>LENGTH OF PRODUCTION</t>
  </si>
  <si>
    <t>YEARS FOR LOAN</t>
  </si>
  <si>
    <t>Variable</t>
  </si>
  <si>
    <t>Fixed cost</t>
  </si>
  <si>
    <t>TUNNEL SYSTEM</t>
  </si>
  <si>
    <t>&lt;Tunnel System?&gt;</t>
  </si>
  <si>
    <t>Long Term Liability</t>
  </si>
  <si>
    <t>CAPEX - NO LAND</t>
  </si>
  <si>
    <t>HIGHER EMPLOYEE COST</t>
  </si>
  <si>
    <t>Interest</t>
  </si>
  <si>
    <t>Annual Balance</t>
  </si>
  <si>
    <t>Annual Interest</t>
  </si>
  <si>
    <t>Year 11</t>
  </si>
  <si>
    <t>Year 12</t>
  </si>
  <si>
    <t>Year 13</t>
  </si>
  <si>
    <t>Year 14</t>
  </si>
  <si>
    <t>Year 15</t>
  </si>
  <si>
    <t>Year 16</t>
  </si>
  <si>
    <t>Year 17</t>
  </si>
  <si>
    <t>Year 18</t>
  </si>
  <si>
    <t>Year 19</t>
  </si>
  <si>
    <t>Year 20</t>
  </si>
  <si>
    <t>Repayments</t>
  </si>
  <si>
    <t>Proceeds from Loans</t>
  </si>
  <si>
    <t>Repayment of Loans</t>
  </si>
  <si>
    <t>Interest Charged</t>
  </si>
  <si>
    <t>YEAR UNTIL +CASHFLOW</t>
  </si>
  <si>
    <t>YEAR UNTIL PROFITABLE</t>
  </si>
  <si>
    <t>POND</t>
  </si>
  <si>
    <t>NO POSITIVE</t>
  </si>
  <si>
    <t>INTERNAL RATE OF RETURN</t>
  </si>
  <si>
    <t>TOTAL COSTS</t>
  </si>
  <si>
    <t>LOAN AMOUNT FOR INFRASTRUCTURE &amp; FACILITY</t>
  </si>
  <si>
    <t>LOAN AMOUNT FOR WORKING CAPITAL</t>
  </si>
  <si>
    <t>PRICE INCREASE %</t>
  </si>
  <si>
    <t>NATURAL POND</t>
  </si>
  <si>
    <t>&lt;Will a natural pond be used?&gt;</t>
  </si>
  <si>
    <t>TOTAL: WITH Increases in tonnage</t>
  </si>
  <si>
    <t>Heating equipment</t>
  </si>
  <si>
    <t>RATIO</t>
  </si>
  <si>
    <t>Proceeds  from equity</t>
  </si>
  <si>
    <t>SURETY</t>
  </si>
  <si>
    <t>FARM SIZE REQUIRED (ha)</t>
  </si>
  <si>
    <t>&lt;Type of financing&gt;</t>
  </si>
  <si>
    <t>Debt</t>
  </si>
  <si>
    <t>Equity</t>
  </si>
  <si>
    <t xml:space="preserve">Number of people: </t>
  </si>
  <si>
    <t xml:space="preserve">Summary </t>
  </si>
  <si>
    <t># OF EMPLOYEES REQUIRED IN FIRST YEAR</t>
  </si>
  <si>
    <t xml:space="preserve">Security </t>
  </si>
  <si>
    <t>Vet services (once a month)</t>
  </si>
  <si>
    <t>Vet Services</t>
  </si>
  <si>
    <t>Length of production/ target weight</t>
  </si>
  <si>
    <t>&lt;Please select the length of production(target weight)&gt;</t>
  </si>
  <si>
    <t>YEAR 0</t>
  </si>
  <si>
    <t>Species Requirements</t>
  </si>
  <si>
    <t>Debt/Equity</t>
  </si>
  <si>
    <t>Percentage Debt</t>
  </si>
  <si>
    <t>PERCENTAGE DEBT</t>
  </si>
  <si>
    <t>&lt;Select % to be financed through debt&gt;</t>
  </si>
  <si>
    <t>Stocking number</t>
  </si>
  <si>
    <t>FEED AVERAGE</t>
  </si>
  <si>
    <t>Increase in Insurance</t>
  </si>
  <si>
    <t>Telephone costs</t>
  </si>
  <si>
    <t>increase in transport cost</t>
  </si>
  <si>
    <t>Assumptions on costs and increases</t>
  </si>
  <si>
    <t>increase in cleaning materials</t>
  </si>
  <si>
    <t>Increase in vet services</t>
  </si>
  <si>
    <t>increase in charges</t>
  </si>
  <si>
    <t xml:space="preserve">increase in marketing </t>
  </si>
  <si>
    <t>Percentage of variable costs kept as a reserve</t>
  </si>
  <si>
    <t>OPTIMAL TEMPERATURE</t>
  </si>
  <si>
    <t>SALINITY</t>
  </si>
  <si>
    <t>OXYGEN</t>
  </si>
  <si>
    <t>OPTIMAL pH</t>
  </si>
  <si>
    <t>AMMONIA</t>
  </si>
  <si>
    <t>Breakeven</t>
  </si>
  <si>
    <t>Transport cost (local)</t>
  </si>
  <si>
    <t>Transport cost (International)</t>
  </si>
  <si>
    <t xml:space="preserve">*These figures and calculations are based on assumptions, please consult with a professional Aquaculture expert for more assistance and guidance before developing an aquaculture facility. </t>
  </si>
  <si>
    <t>&lt;Please select a payback period&gt;</t>
  </si>
  <si>
    <t xml:space="preserve">SURVIVAL RATE </t>
  </si>
  <si>
    <t xml:space="preserve">NITRITE </t>
  </si>
  <si>
    <t>Tonnages</t>
  </si>
  <si>
    <t>&lt;Please select an appropriate selling price?&gt;</t>
  </si>
  <si>
    <t>RATIOS or capacity per month</t>
  </si>
  <si>
    <t>Average Monthly Mortality Rate</t>
  </si>
  <si>
    <t>Months of production (max)</t>
  </si>
  <si>
    <r>
      <t>Volume (m</t>
    </r>
    <r>
      <rPr>
        <vertAlign val="superscript"/>
        <sz val="9"/>
        <color theme="0"/>
        <rFont val="Calibri"/>
        <family val="2"/>
        <scheme val="minor"/>
      </rPr>
      <t>3</t>
    </r>
    <r>
      <rPr>
        <sz val="9"/>
        <color theme="0"/>
        <rFont val="Calibri"/>
        <family val="2"/>
        <scheme val="minor"/>
      </rPr>
      <t>)</t>
    </r>
  </si>
  <si>
    <t>Depth (m)</t>
  </si>
  <si>
    <t>liters per cubic meter</t>
  </si>
  <si>
    <t>Water (per kl) for 2017</t>
  </si>
  <si>
    <t>Land price (Dry land crop)/ha</t>
  </si>
  <si>
    <t>&lt;Do you already have a Farm?&gt;</t>
  </si>
  <si>
    <t>&lt;Select Operational Status&gt;</t>
  </si>
  <si>
    <t>Biofilter</t>
  </si>
  <si>
    <t>Hungary model</t>
  </si>
  <si>
    <t>Portion of system</t>
  </si>
  <si>
    <t>Solids settlement</t>
  </si>
  <si>
    <t>TAN removal per day (0.4-0.6g/m2/day)</t>
  </si>
  <si>
    <t>For removal of TAN from 1 kg of feed , 70-80m2 of biofilter needed (about 0.5m3 biofilter vlume)</t>
  </si>
  <si>
    <t>Daily feed amount</t>
  </si>
  <si>
    <t>Biofilter surface area needed m</t>
  </si>
  <si>
    <t xml:space="preserve">Biofilter media vol needed at (800 m2/m3) </t>
  </si>
  <si>
    <t>Biofilter vol</t>
  </si>
  <si>
    <t>Aeration</t>
  </si>
  <si>
    <t>cost of aerator</t>
  </si>
  <si>
    <t>Market size</t>
  </si>
  <si>
    <t>Short/long handle Hand net</t>
  </si>
  <si>
    <t>Biofilter - RAS</t>
  </si>
  <si>
    <t>Grow-out containment number (m3) (incl. lining)</t>
  </si>
  <si>
    <t>Days per month</t>
  </si>
  <si>
    <t>Eskom</t>
  </si>
  <si>
    <t xml:space="preserve">Weight conversion - Fuel </t>
  </si>
  <si>
    <t xml:space="preserve">2kg Weight conversion - Fuel </t>
  </si>
  <si>
    <t>Local Radius (KM) from farm (max)</t>
  </si>
  <si>
    <t>International Radius (KM) from farm (max)</t>
  </si>
  <si>
    <t>2 to 5 tonne bakkie (R/Km)</t>
  </si>
  <si>
    <t>Expected to receive 11 of the 12 months payments in present year and the last month in the following year</t>
  </si>
  <si>
    <t>Substrate Spawners</t>
  </si>
  <si>
    <t xml:space="preserve">Expected Survival (%) </t>
  </si>
  <si>
    <t>between 5 and 8 mg/L</t>
  </si>
  <si>
    <t>3 Months</t>
  </si>
  <si>
    <t>4 Months</t>
  </si>
  <si>
    <t>5 Months</t>
  </si>
  <si>
    <t>6 Months</t>
  </si>
  <si>
    <t>Number of Fish</t>
  </si>
  <si>
    <t>Ratio (person per Fish)</t>
  </si>
  <si>
    <t xml:space="preserve">Expected Mortality rate </t>
  </si>
  <si>
    <t>Packing Room</t>
  </si>
  <si>
    <t>TOTAL: WITH Increases in numbers</t>
  </si>
  <si>
    <t>Standby generator</t>
  </si>
  <si>
    <r>
      <t>Water storage tank (m</t>
    </r>
    <r>
      <rPr>
        <vertAlign val="superscript"/>
        <sz val="9"/>
        <rFont val="Calibri"/>
        <family val="2"/>
        <scheme val="minor"/>
      </rPr>
      <t>3</t>
    </r>
    <r>
      <rPr>
        <sz val="9"/>
        <rFont val="Calibri"/>
        <family val="2"/>
        <scheme val="minor"/>
      </rPr>
      <t>)</t>
    </r>
  </si>
  <si>
    <t>Office equipment</t>
  </si>
  <si>
    <t># of fish</t>
  </si>
  <si>
    <t>Live-Bearers</t>
  </si>
  <si>
    <t>Egg Scatterers</t>
  </si>
  <si>
    <t>Mouth Brooders</t>
  </si>
  <si>
    <t>Fresh Ornamentals</t>
  </si>
  <si>
    <t>Gouramis</t>
  </si>
  <si>
    <t>Angels</t>
  </si>
  <si>
    <t>Ancistrus Catfish</t>
  </si>
  <si>
    <t>Tanganyikan Cichlids</t>
  </si>
  <si>
    <t>South American Cichlids</t>
  </si>
  <si>
    <t>Corydoras Catfish</t>
  </si>
  <si>
    <t>&lt;Please Select a Variety&gt;</t>
  </si>
  <si>
    <t>No permits are currently required</t>
  </si>
  <si>
    <t>Live Bearers</t>
  </si>
  <si>
    <t>Egg Scatters</t>
  </si>
  <si>
    <t>Goldfish</t>
  </si>
  <si>
    <t>Koi</t>
  </si>
  <si>
    <t>Tetras</t>
  </si>
  <si>
    <t>Barbs &amp; Danios</t>
  </si>
  <si>
    <t>INFRASTRUCTURE</t>
  </si>
  <si>
    <t>Tunnels</t>
  </si>
  <si>
    <t>LAND</t>
  </si>
  <si>
    <t>EQUIPMENT</t>
  </si>
  <si>
    <t>Production Lenghts (months)</t>
  </si>
  <si>
    <t>Broodstock</t>
  </si>
  <si>
    <t>Buckets/Drums</t>
  </si>
  <si>
    <t xml:space="preserve">Price per Unit (R) </t>
  </si>
  <si>
    <t>Short/long handle hand net</t>
  </si>
  <si>
    <t>Office Equipment</t>
  </si>
  <si>
    <t>Land</t>
  </si>
  <si>
    <t>Other Equipment</t>
  </si>
  <si>
    <t>Projected Balance Sheet Pond</t>
  </si>
  <si>
    <t>Built-In Assumptions</t>
  </si>
  <si>
    <t>Water (per kl) for 2016/17</t>
  </si>
  <si>
    <t>Minimum price of Security</t>
  </si>
  <si>
    <t>Stationary</t>
  </si>
  <si>
    <t>Average feed price (per kg)</t>
  </si>
  <si>
    <t>Fuel costs</t>
  </si>
  <si>
    <t>Fuel consumption 2 to 5 tonne bakkie (R/Km)</t>
  </si>
  <si>
    <t>Land price (Dry land crop)</t>
  </si>
  <si>
    <t>HUMAN RESOURCE ASSUMPTIONS</t>
  </si>
  <si>
    <t>PRODUCTION ASSUMPTIONS - FRESHWATER ORNAMENTALS MODEL</t>
  </si>
  <si>
    <t>TECHINICAL ASSUMPTIONS - FRESHWATER ORNAMENTALS MODEL</t>
  </si>
  <si>
    <t>BIO-MODEL - FRESHWATER ORNAMENTALS MODEL</t>
  </si>
  <si>
    <t>HUMAN RESOURCES - FRESHWATER ORNAMENTALS MODEL</t>
  </si>
  <si>
    <t>CAPITAL EXPENDITURE - FRESHWATER ORNAMENTALS MODEL</t>
  </si>
  <si>
    <t xml:space="preserve">WORKING CAPITAL - RAS </t>
  </si>
  <si>
    <t>WORKING CAPITAL - POND</t>
  </si>
  <si>
    <t>OPERATIONAL EXPENDITURE - RAS</t>
  </si>
  <si>
    <t>INCOME STATEMENT - RAS</t>
  </si>
  <si>
    <t>BALANCE SHEET - RAS</t>
  </si>
  <si>
    <t>CASH FLOW STATEMENT - RAS</t>
  </si>
  <si>
    <t>INTERNAL RATE OF RETURN - RAS</t>
  </si>
  <si>
    <t>NET PRESENT VALUE &amp; PROFITABILITY INDEX - RAS</t>
  </si>
  <si>
    <t>DEPRECIATION CALCULATIONS - RAS</t>
  </si>
  <si>
    <t>LOAN AMORTIZATION SCHEDULE - RAS</t>
  </si>
  <si>
    <t>LOAN INTEREST &amp; BALANCE SHEET - RAS</t>
  </si>
  <si>
    <t>INCOME STATEMENT - POND</t>
  </si>
  <si>
    <t>BALANCE SHEET - POND</t>
  </si>
  <si>
    <t>CASH FLOW STATEMENT - POND</t>
  </si>
  <si>
    <t>INTERNAL RATE OF RETURN - POND</t>
  </si>
  <si>
    <t>NET PRESENT VALUE &amp; PROFITABILITY INDEX - POND</t>
  </si>
  <si>
    <t>DEPRECIATION CALCULATIONS - POND</t>
  </si>
  <si>
    <t>LOAN AMORTIZATION SCHEDULE - POND</t>
  </si>
  <si>
    <t>LOAN INTEREST &amp; BALANCE SHEET - POND</t>
  </si>
  <si>
    <t xml:space="preserve">Vet services (Every 3 months) </t>
  </si>
  <si>
    <t>Purchase Land</t>
  </si>
  <si>
    <t>Basic earthmoving/site clearing</t>
  </si>
  <si>
    <t>Recirc vol</t>
  </si>
  <si>
    <t>Biofilter surface area per 1 kg dailyl feed</t>
  </si>
  <si>
    <t>Biofilter tank size (m3)</t>
  </si>
  <si>
    <t>Number of Biofilter tanks</t>
  </si>
  <si>
    <t>Biofilter Tanks</t>
  </si>
  <si>
    <t>Diameter (m)</t>
  </si>
  <si>
    <t>Price per tank</t>
  </si>
  <si>
    <t>Biofilter Media</t>
  </si>
  <si>
    <t>Water Pumps</t>
  </si>
  <si>
    <t>Aerators (kW)</t>
  </si>
  <si>
    <t>Aeration (Kw)</t>
  </si>
  <si>
    <t>Water storage tank (m3)</t>
  </si>
  <si>
    <t>Water Piping</t>
  </si>
  <si>
    <t>Piping Required</t>
  </si>
  <si>
    <t>Sale price: R/fish</t>
  </si>
  <si>
    <t>Egg Scatters (fry/fingerlings)</t>
  </si>
  <si>
    <t xml:space="preserve">Live Bearers </t>
  </si>
  <si>
    <t xml:space="preserve">Mouth Brooders </t>
  </si>
  <si>
    <t>&lt;Please select target market&gt;</t>
  </si>
  <si>
    <t>&lt;Select number of fish to produce per annum&gt;</t>
  </si>
  <si>
    <t>&lt;Please select preferred system&gt;</t>
  </si>
  <si>
    <t xml:space="preserve">TOTAL WORKING CAPITAL </t>
  </si>
  <si>
    <t>Number of Fish (Per annum)</t>
  </si>
  <si>
    <t>Fish to sell per month</t>
  </si>
  <si>
    <t>Owner</t>
  </si>
  <si>
    <t>* Assume take part of profits</t>
  </si>
  <si>
    <t>Chemicals</t>
  </si>
  <si>
    <t>Consumables</t>
  </si>
  <si>
    <t>Packaging</t>
  </si>
  <si>
    <t>Freight</t>
  </si>
  <si>
    <t>Breeding Stock</t>
  </si>
  <si>
    <t>Offices/Storage/Feed Room</t>
  </si>
  <si>
    <t>Electricity Usage</t>
  </si>
  <si>
    <t>Volume</t>
  </si>
  <si>
    <t>Electricity Per tank (kWh/day)</t>
  </si>
  <si>
    <t>Number of Ponds</t>
  </si>
  <si>
    <t>Electricity Per tank (kWh/month)</t>
  </si>
  <si>
    <t>Breeding Tanks</t>
  </si>
  <si>
    <t>Total Electricity Breeding Tanks/month</t>
  </si>
  <si>
    <t>Grow out Ponds</t>
  </si>
  <si>
    <t>Cost breeding tanks/month</t>
  </si>
  <si>
    <t>Volume water/tank</t>
  </si>
  <si>
    <t xml:space="preserve">    ~Length (m)</t>
  </si>
  <si>
    <t xml:space="preserve">    ~width (m)</t>
  </si>
  <si>
    <t xml:space="preserve">    ~Hight (m)</t>
  </si>
  <si>
    <t>Required Number of Systems</t>
  </si>
  <si>
    <t>Total Number fish/tunnel</t>
  </si>
  <si>
    <t>Production Assumptions</t>
  </si>
  <si>
    <t>Density (fish/litre)</t>
  </si>
  <si>
    <t>Total no fish required/pa</t>
  </si>
  <si>
    <t>*After mortality Rate</t>
  </si>
  <si>
    <t>Stocking density/pond</t>
  </si>
  <si>
    <t>Grow Out period (months)</t>
  </si>
  <si>
    <t>* Before mortality rate</t>
  </si>
  <si>
    <t>Harvest weight of fish (g)</t>
  </si>
  <si>
    <t>Total number ponds needed</t>
  </si>
  <si>
    <t>* based on required number fish/pa</t>
  </si>
  <si>
    <t>Per fish</t>
  </si>
  <si>
    <t>Total Price</t>
  </si>
  <si>
    <t>Total number tunnels needed</t>
  </si>
  <si>
    <t>Females</t>
  </si>
  <si>
    <t>BROODSTOCK</t>
  </si>
  <si>
    <t>Live Bearers - Guppies/Sowrdtails/Platys Mollies</t>
  </si>
  <si>
    <t>Average Cost of Males</t>
  </si>
  <si>
    <t>Average Cost of females</t>
  </si>
  <si>
    <t>Average cost</t>
  </si>
  <si>
    <t>Production Per Tunnel (RAS)</t>
  </si>
  <si>
    <t>Feed &amp; Stocking</t>
  </si>
  <si>
    <t>FCR</t>
  </si>
  <si>
    <t>Additional</t>
  </si>
  <si>
    <t>Packaging (per 100 fish)</t>
  </si>
  <si>
    <t>Freight (per 100 fish)</t>
  </si>
  <si>
    <t>Chemicals (per tunnel)</t>
  </si>
  <si>
    <t>Consumables (per tunnel)</t>
  </si>
  <si>
    <t>Number of Fish to sell per month</t>
  </si>
  <si>
    <t>Based on number fish produced</t>
  </si>
  <si>
    <t>Breeding Info (</t>
  </si>
  <si>
    <t>Pond Size</t>
  </si>
  <si>
    <t>BIOMASS CALCULATIONS</t>
  </si>
  <si>
    <t>Number fish/pond</t>
  </si>
  <si>
    <t>Fish per pond</t>
  </si>
  <si>
    <t>Number of ponds</t>
  </si>
  <si>
    <t>Final Mass fish (g)</t>
  </si>
  <si>
    <t>Biomass per pond (kg)</t>
  </si>
  <si>
    <t>Biomass for all ponds</t>
  </si>
  <si>
    <t>Biomass (kg) per m3</t>
  </si>
  <si>
    <t>FEED CALCULATIONS</t>
  </si>
  <si>
    <t>Growout period (months)</t>
  </si>
  <si>
    <t>Price of Feed/kg</t>
  </si>
  <si>
    <t>Final Biomass/pond</t>
  </si>
  <si>
    <t>Total feed/pond/growout</t>
  </si>
  <si>
    <t>Total feed for grow out (kg)</t>
  </si>
  <si>
    <t>Avg feed price/month</t>
  </si>
  <si>
    <t>FEED REQUIREMENTS - FRESHWATER ORNAMENTALS MODEL</t>
  </si>
  <si>
    <t>Monthly Feed Avg (kg)</t>
  </si>
  <si>
    <t xml:space="preserve">Males </t>
  </si>
  <si>
    <t>Number Breeding Ponds</t>
  </si>
  <si>
    <t>Number breeders</t>
  </si>
  <si>
    <t>FRESHWATER ORNAMENTALS</t>
  </si>
  <si>
    <t>TOTAL WORKING CAPITAL FOR 5 to 6 MONTHS</t>
  </si>
  <si>
    <t>Size of aerators</t>
  </si>
  <si>
    <t>Number of aerators (per tunnel)</t>
  </si>
  <si>
    <t>Glass Tanks</t>
  </si>
  <si>
    <t>Piping &amp; Fittings</t>
  </si>
  <si>
    <t>Heating &amp; Cooling</t>
  </si>
  <si>
    <t>Number Required</t>
  </si>
  <si>
    <t>Tank Stands ( 3 tanks/stand)</t>
  </si>
  <si>
    <t>Hatchery (m²) - only for Egg Scatterers &amp; Substrate Spawners (excl Goldfish &amp; Koi)</t>
  </si>
  <si>
    <t>Glass tanks for Hatchery (only for Egg Scatterers &amp; Substrate Spawners (excl Goldfish &amp; Koi)</t>
  </si>
  <si>
    <t>Stands for Hatchery tanks (only for Egg Scatterers &amp; Substrate Spawners (excl Goldfish &amp; Koi)</t>
  </si>
  <si>
    <t>Piping and fittings - Hatchery (only for Egg Scatterers &amp; Substrate Spawners (excl Goldfish &amp; Koi)</t>
  </si>
  <si>
    <t>Heating/Cooling - Hatchery (only for Egg Scatterers &amp; Substrate Spawners (excl Goldfish &amp; Koi)</t>
  </si>
  <si>
    <t>OPERATIONAL EXPENDITURE - POND (ONLY GOLDFISH &amp; KOI)</t>
  </si>
  <si>
    <t>HATCHERY (SPECIES SPECIFIC) - SUBSTRATE SPAWNERS &amp; EGG BROADCASTERS (EXCL KOI &amp; GOLDFISH)</t>
  </si>
  <si>
    <t>Breeding Ponds</t>
  </si>
  <si>
    <t xml:space="preserve">    ~Depth (m)</t>
  </si>
  <si>
    <t>POND PRODUCTION (GOLDFISH &amp; KOI)</t>
  </si>
  <si>
    <t>Stocking density/m3</t>
  </si>
  <si>
    <t>* May differ for Koi</t>
  </si>
  <si>
    <t>Price per pond</t>
  </si>
  <si>
    <t>Cost electricity/month</t>
  </si>
  <si>
    <t>Total Electricity /month</t>
  </si>
  <si>
    <t>Electricity Per pond (kWh/month)</t>
  </si>
  <si>
    <t>Electricity Per pond(kWh/day)</t>
  </si>
  <si>
    <t>Minimum number of tunnels</t>
  </si>
  <si>
    <t>Number of fish/annum</t>
  </si>
  <si>
    <t>Water Supply (Piping &amp; Fittings)</t>
  </si>
  <si>
    <t>Water Drainage (Piping &amp; Fittings)</t>
  </si>
  <si>
    <t>Water Pumps (kw)</t>
  </si>
  <si>
    <t>Piping and fittings - Breeding Ponds</t>
  </si>
  <si>
    <t>Heating/Cooling - Breeding Ponds</t>
  </si>
  <si>
    <t xml:space="preserve">Breeding Info </t>
  </si>
  <si>
    <t>Males &amp; Females</t>
  </si>
  <si>
    <t>1 month</t>
  </si>
  <si>
    <t>2 months</t>
  </si>
  <si>
    <t>Typical length of production</t>
  </si>
  <si>
    <t>STOCKING DENSITY</t>
  </si>
  <si>
    <t>Fish/m3</t>
  </si>
  <si>
    <t>Pond (Koi &amp; Goldfish)</t>
  </si>
  <si>
    <t>RAS (tetras/barbs/danios/gouramis)</t>
  </si>
  <si>
    <t>Stocking density (fish per m³) - RAS</t>
  </si>
  <si>
    <t>Stocking density (fish per m³) - POND</t>
  </si>
  <si>
    <t>Breeding Ponds (Koi &amp; Goldfish)</t>
  </si>
  <si>
    <t>POSSIBLE SPECIES TO CONSIDER</t>
  </si>
  <si>
    <t>Only applicable for RAS</t>
  </si>
  <si>
    <t>Estimated Harvest Weights</t>
  </si>
  <si>
    <t>Goldfish &amp; Koi</t>
  </si>
  <si>
    <t>Tetras/Barbs/Danios/Gouramis</t>
  </si>
  <si>
    <t>Tetras &amp; Barbs/Danios</t>
  </si>
  <si>
    <t>FCR (RAS)</t>
  </si>
  <si>
    <t>FCR (pond)</t>
  </si>
  <si>
    <t>Unit (kWh)</t>
  </si>
  <si>
    <t>Electricity Usage - RAS</t>
  </si>
  <si>
    <t>Electricity  Usage - Ponds</t>
  </si>
  <si>
    <t>Selling price/fish. Prices will depend on production scales &amp; system selected</t>
  </si>
  <si>
    <t>INSTRUCTIONS</t>
  </si>
  <si>
    <t>Step 1</t>
  </si>
  <si>
    <t>Please read over the information and diagrams below.</t>
  </si>
  <si>
    <t>Step 2</t>
  </si>
  <si>
    <r>
      <t xml:space="preserve">Navigate to the </t>
    </r>
    <r>
      <rPr>
        <b/>
        <sz val="11"/>
        <color theme="1"/>
        <rFont val="Calibri"/>
        <family val="2"/>
        <scheme val="minor"/>
      </rPr>
      <t xml:space="preserve">Interface </t>
    </r>
    <r>
      <rPr>
        <sz val="11"/>
        <color theme="1"/>
        <rFont val="Calibri"/>
        <family val="2"/>
        <scheme val="minor"/>
      </rPr>
      <t>tab (Tab number 2).</t>
    </r>
  </si>
  <si>
    <t>Step 3</t>
  </si>
  <si>
    <r>
      <t xml:space="preserve">On the </t>
    </r>
    <r>
      <rPr>
        <b/>
        <sz val="11"/>
        <color theme="1"/>
        <rFont val="Calibri"/>
        <family val="2"/>
        <scheme val="minor"/>
      </rPr>
      <t xml:space="preserve">Interface </t>
    </r>
    <r>
      <rPr>
        <sz val="11"/>
        <color theme="1"/>
        <rFont val="Calibri"/>
        <family val="2"/>
        <scheme val="minor"/>
      </rPr>
      <t>tab, you will presented with various options to select &amp; complete (See examples below).</t>
    </r>
  </si>
  <si>
    <t>Step 4</t>
  </si>
  <si>
    <t>Each block the requires your information/inputs must be completed  to ensure the end results are accuarate.</t>
  </si>
  <si>
    <t>Step 5</t>
  </si>
  <si>
    <r>
      <t xml:space="preserve">Every effort has been made to provide you with accuarte, industry specific data. The </t>
    </r>
    <r>
      <rPr>
        <b/>
        <sz val="11"/>
        <color theme="1"/>
        <rFont val="Calibri"/>
        <family val="2"/>
        <scheme val="minor"/>
      </rPr>
      <t>Built-in Assumptions and Production Assumptions tabs</t>
    </r>
    <r>
      <rPr>
        <sz val="11"/>
        <color theme="1"/>
        <rFont val="Calibri"/>
        <family val="2"/>
        <scheme val="minor"/>
      </rPr>
      <t xml:space="preserve"> provide data that the user can ammend if necessary.</t>
    </r>
  </si>
  <si>
    <t>Step 6</t>
  </si>
  <si>
    <t>The remaining tabs in the excel sheet will automatically update according to the data selected and inputs used. It is not recommended these sheets are changed.</t>
  </si>
  <si>
    <t>Step 7</t>
  </si>
  <si>
    <r>
      <t xml:space="preserve">Consult the </t>
    </r>
    <r>
      <rPr>
        <b/>
        <sz val="11"/>
        <color theme="1"/>
        <rFont val="Calibri"/>
        <family val="2"/>
        <scheme val="minor"/>
      </rPr>
      <t xml:space="preserve">Generic Economic Model User Manual </t>
    </r>
    <r>
      <rPr>
        <sz val="11"/>
        <color theme="1"/>
        <rFont val="Calibri"/>
        <family val="2"/>
        <scheme val="minor"/>
      </rPr>
      <t xml:space="preserve"> for a detailed information &amp; guidelines on the model.</t>
    </r>
  </si>
  <si>
    <t>THE INTERFACE - PRODUCTION INFO</t>
  </si>
  <si>
    <t>THE INTERFACE - APPLICANT INFO (TELL US ABOUT YOU)</t>
  </si>
  <si>
    <t>THE INTERFACE - QUICK FACTS (OBTAIN YOUR RESULTS)</t>
  </si>
  <si>
    <t>THE INTERFACE - QUICK FACTS (SPECIES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</si>
</sst>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7" formatCode="&quot;R&quot;#,##0.00;\-&quot;R&quot;#,##0.00"/>
    <numFmt numFmtId="8" formatCode="&quot;R&quot;#,##0.00;[Red]\-&quot;R&quot;#,##0.00"/>
    <numFmt numFmtId="42" formatCode="_-&quot;R&quot;* #,##0_-;\-&quot;R&quot;* #,##0_-;_-&quot;R&quot;* &quot;-&quot;_-;_-@_-"/>
    <numFmt numFmtId="44" formatCode="_-&quot;R&quot;* #,##0.00_-;\-&quot;R&quot;* #,##0.00_-;_-&quot;R&quot;* &quot;-&quot;??_-;_-@_-"/>
    <numFmt numFmtId="43" formatCode="_-* #,##0.00_-;\-* #,##0.00_-;_-* &quot;-&quot;??_-;_-@_-"/>
    <numFmt numFmtId="164" formatCode="&quot;R&quot;\ #,##0;[Red]&quot;R&quot;\ \-#,##0"/>
    <numFmt numFmtId="165" formatCode="&quot;R&quot;\ #,##0.00;[Red]&quot;R&quot;\ \-#,##0.00"/>
    <numFmt numFmtId="166" formatCode="_ &quot;R&quot;\ * #,##0.00_ ;_ &quot;R&quot;\ * \-#,##0.00_ ;_ &quot;R&quot;\ * &quot;-&quot;??_ ;_ @_ "/>
    <numFmt numFmtId="167" formatCode="_ * #,##0.00_ ;_ * \-#,##0.00_ ;_ * &quot;-&quot;??_ ;_ @_ "/>
    <numFmt numFmtId="168" formatCode="_-&quot;$&quot;* #,##0.00_-;\-&quot;$&quot;* #,##0.00_-;_-&quot;$&quot;* &quot;-&quot;??_-;_-@_-"/>
    <numFmt numFmtId="169" formatCode="#,##0_);[Red]\(#,##0\);&quot;-&quot;_);[Blue]&quot;Error-&quot;@"/>
    <numFmt numFmtId="170" formatCode="0%_);[Red]\-0%_);0%_);[Blue]&quot;Error-&quot;@"/>
    <numFmt numFmtId="171" formatCode="_(&quot;$&quot;* #,##0.00_);_(&quot;$&quot;* \(#,##0.00\);_(&quot;$&quot;* &quot;-&quot;??_);_(@_)"/>
    <numFmt numFmtId="172" formatCode="&quot;$&quot;* #,##0.00_);[Red]&quot;$&quot;* \(#,##0.00\);&quot;$&quot;* &quot;-&quot;_);[Blue]&quot;Error-&quot;@"/>
    <numFmt numFmtId="173" formatCode="&quot;$&quot;* #,##0_);[Red]&quot;$&quot;* \(#,##0\);&quot;$&quot;* &quot;-&quot;_);[Blue]&quot;Error-&quot;@"/>
    <numFmt numFmtId="174" formatCode="0.00%_);[Red]\-0.00%_);0.00%_);[Blue]&quot;Error-&quot;@"/>
    <numFmt numFmtId="175" formatCode="0.0%_);[Red]\-0.0%_);0.0%_);[Blue]&quot;Error-&quot;@"/>
    <numFmt numFmtId="176" formatCode="#,##0.0_);[Red]\(#,##0.0\);&quot;-&quot;_);[Blue]&quot;Error-&quot;@"/>
    <numFmt numFmtId="177" formatCode="#,##0.00_);[Red]\(#,##0.00\);&quot;-&quot;_);[Blue]&quot;Error-&quot;@"/>
    <numFmt numFmtId="178" formatCode="&quot;R&quot;\ #,##0"/>
    <numFmt numFmtId="179" formatCode="&quot;R&quot;\ #,##0.00"/>
    <numFmt numFmtId="180" formatCode="0.0%"/>
    <numFmt numFmtId="181" formatCode="0.000000"/>
    <numFmt numFmtId="182" formatCode="_ &quot;R&quot;\ * #,##0_ ;_ &quot;R&quot;\ * \-#,##0_ ;_ &quot;R&quot;\ * &quot;-&quot;??_ ;_ @_ "/>
    <numFmt numFmtId="183" formatCode="_ * #,##0_ ;_ * \-#,##0_ ;_ * &quot;-&quot;??_ ;_ @_ "/>
    <numFmt numFmtId="184" formatCode="_(* #,##0_);_(* \(#,##0\);_(* &quot;-&quot;??_);_(@_)"/>
    <numFmt numFmtId="185" formatCode="mmm\-yyyy"/>
    <numFmt numFmtId="186" formatCode="\ &quot;Error&quot;;&quot;Error&quot;;&quot;Ok&quot;\ "/>
    <numFmt numFmtId="187" formatCode="0.0"/>
    <numFmt numFmtId="188" formatCode="_ * #,##0.000_ ;_ * \-#,##0.000_ ;_ * &quot;-&quot;??_ ;_ @_ "/>
    <numFmt numFmtId="189" formatCode="&quot;R&quot;#,##0.00"/>
    <numFmt numFmtId="190" formatCode="#,##0_ ;\-#,##0\ "/>
    <numFmt numFmtId="191" formatCode="_-[$R-1C09]* #,##0.00_-;\-[$R-1C09]* #,##0.00_-;_-[$R-1C09]* &quot;-&quot;??_-;_-@_-"/>
    <numFmt numFmtId="192" formatCode="#,##0.0"/>
    <numFmt numFmtId="193" formatCode="#,##0.000000_ ;\-#,##0.000000\ "/>
    <numFmt numFmtId="194" formatCode="#,##0.0000000_ ;\-#,##0.0000000\ "/>
    <numFmt numFmtId="195" formatCode="_(&quot;R&quot;* #,##0.00_);_(&quot;R&quot;* \(#,##0.00\);_(&quot;R&quot;* &quot;-&quot;??_);_(@_)"/>
    <numFmt numFmtId="196" formatCode="0.000"/>
  </numFmts>
  <fonts count="71">
    <font>
      <sz val="11"/>
      <color theme="1"/>
      <name val="Calibri"/>
      <family val="2"/>
      <scheme val="minor"/>
    </font>
    <font>
      <sz val="10"/>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sz val="10"/>
      <name val="Arial"/>
      <family val="2"/>
    </font>
    <font>
      <sz val="9"/>
      <name val="Arial"/>
      <family val="2"/>
    </font>
    <font>
      <i/>
      <sz val="11"/>
      <color theme="1"/>
      <name val="Calibri"/>
      <family val="2"/>
      <scheme val="minor"/>
    </font>
    <font>
      <b/>
      <sz val="18"/>
      <name val="Bell MT"/>
      <family val="1"/>
    </font>
    <font>
      <sz val="9"/>
      <color theme="1"/>
      <name val="Calibri"/>
      <family val="2"/>
      <scheme val="minor"/>
    </font>
    <font>
      <b/>
      <sz val="22"/>
      <color theme="0"/>
      <name val="Calibri"/>
      <family val="2"/>
      <scheme val="minor"/>
    </font>
    <font>
      <b/>
      <sz val="9"/>
      <color theme="0"/>
      <name val="Calibri"/>
      <family val="2"/>
      <scheme val="minor"/>
    </font>
    <font>
      <shadow/>
      <u/>
      <sz val="9"/>
      <color theme="0"/>
      <name val="Calibri"/>
      <family val="2"/>
      <scheme val="minor"/>
    </font>
    <font>
      <b/>
      <shadow/>
      <u/>
      <sz val="9"/>
      <color theme="0"/>
      <name val="Calibri"/>
      <family val="2"/>
      <scheme val="minor"/>
    </font>
    <font>
      <sz val="9"/>
      <color theme="0"/>
      <name val="Calibri"/>
      <family val="2"/>
      <scheme val="minor"/>
    </font>
    <font>
      <shadow/>
      <sz val="11"/>
      <color theme="0"/>
      <name val="Calibri"/>
      <family val="2"/>
      <scheme val="minor"/>
    </font>
    <font>
      <b/>
      <sz val="31"/>
      <color theme="0"/>
      <name val="AR CENA"/>
    </font>
    <font>
      <b/>
      <sz val="16"/>
      <color rgb="FFFFFF99"/>
      <name val="AR CENA"/>
    </font>
    <font>
      <b/>
      <sz val="11"/>
      <color theme="3"/>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
      <sz val="20"/>
      <color theme="0"/>
      <name val="Aharoni"/>
    </font>
    <font>
      <sz val="11"/>
      <color theme="3" tint="-0.249977111117893"/>
      <name val="Calibri"/>
      <family val="2"/>
      <scheme val="minor"/>
    </font>
    <font>
      <sz val="28"/>
      <color rgb="FFFF0000"/>
      <name val="Aharoni"/>
    </font>
    <font>
      <b/>
      <sz val="11"/>
      <color theme="3" tint="-0.249977111117893"/>
      <name val="Calibri"/>
      <family val="2"/>
      <scheme val="minor"/>
    </font>
    <font>
      <b/>
      <shadow/>
      <sz val="12"/>
      <color rgb="FFFFFF00"/>
      <name val="Calibri"/>
      <family val="2"/>
      <scheme val="minor"/>
    </font>
    <font>
      <u/>
      <sz val="11"/>
      <color theme="10"/>
      <name val="Calibri"/>
      <family val="2"/>
      <scheme val="minor"/>
    </font>
    <font>
      <b/>
      <sz val="9"/>
      <color theme="0"/>
      <name val="Calibri Light"/>
      <family val="2"/>
      <scheme val="major"/>
    </font>
    <font>
      <sz val="9"/>
      <color theme="0"/>
      <name val="Calibri Light"/>
      <family val="2"/>
      <scheme val="major"/>
    </font>
    <font>
      <b/>
      <sz val="12"/>
      <color theme="1"/>
      <name val="Calibri"/>
      <family val="2"/>
      <scheme val="minor"/>
    </font>
    <font>
      <b/>
      <u/>
      <sz val="11"/>
      <color theme="1"/>
      <name val="Calibri"/>
      <family val="2"/>
      <scheme val="minor"/>
    </font>
    <font>
      <b/>
      <u/>
      <sz val="16"/>
      <color rgb="FF79E583"/>
      <name val="AR CENA"/>
    </font>
    <font>
      <b/>
      <u/>
      <sz val="16"/>
      <color rgb="FFFFFF99"/>
      <name val="AR CENA"/>
    </font>
    <font>
      <shadow/>
      <sz val="11"/>
      <color rgb="FF71FFB1"/>
      <name val="Calibri"/>
      <family val="2"/>
      <scheme val="minor"/>
    </font>
    <font>
      <i/>
      <sz val="11"/>
      <color theme="0"/>
      <name val="Calibri"/>
      <family val="2"/>
      <scheme val="minor"/>
    </font>
    <font>
      <b/>
      <shadow/>
      <sz val="12"/>
      <color rgb="FF71FFB1"/>
      <name val="Calibri"/>
      <family val="2"/>
      <scheme val="minor"/>
    </font>
    <font>
      <b/>
      <shadow/>
      <sz val="12"/>
      <color theme="0"/>
      <name val="Calibri"/>
      <family val="2"/>
      <scheme val="minor"/>
    </font>
    <font>
      <i/>
      <shadow/>
      <sz val="10"/>
      <color rgb="FF71FFB1"/>
      <name val="Calibri"/>
      <family val="2"/>
      <scheme val="minor"/>
    </font>
    <font>
      <shadow/>
      <sz val="10"/>
      <color rgb="FF71FFB1"/>
      <name val="Calibri"/>
      <family val="2"/>
      <scheme val="minor"/>
    </font>
    <font>
      <shadow/>
      <sz val="10"/>
      <color theme="0"/>
      <name val="Calibri"/>
      <family val="2"/>
      <scheme val="minor"/>
    </font>
    <font>
      <vertAlign val="superscript"/>
      <sz val="9"/>
      <color theme="0"/>
      <name val="Calibri"/>
      <family val="2"/>
      <scheme val="minor"/>
    </font>
    <font>
      <b/>
      <sz val="9"/>
      <color theme="1"/>
      <name val="Calibri"/>
      <family val="2"/>
      <scheme val="minor"/>
    </font>
    <font>
      <sz val="9"/>
      <name val="Calibri"/>
      <family val="2"/>
      <scheme val="minor"/>
    </font>
    <font>
      <b/>
      <sz val="10"/>
      <color theme="0"/>
      <name val="Calibri"/>
      <family val="2"/>
      <scheme val="minor"/>
    </font>
    <font>
      <b/>
      <sz val="10"/>
      <color theme="1"/>
      <name val="Calibri"/>
      <family val="2"/>
      <scheme val="minor"/>
    </font>
    <font>
      <sz val="10"/>
      <color theme="0"/>
      <name val="Calibri"/>
      <family val="2"/>
      <scheme val="minor"/>
    </font>
    <font>
      <b/>
      <u/>
      <sz val="16"/>
      <color theme="8" tint="0.39997558519241921"/>
      <name val="AR CENA"/>
    </font>
    <font>
      <shadow/>
      <sz val="12"/>
      <color rgb="FF71FFB1"/>
      <name val="Calibri"/>
      <family val="2"/>
      <scheme val="minor"/>
    </font>
    <font>
      <b/>
      <sz val="14"/>
      <color theme="1"/>
      <name val="Calibri"/>
      <family val="2"/>
      <scheme val="minor"/>
    </font>
    <font>
      <b/>
      <sz val="18"/>
      <color theme="1"/>
      <name val="Calibri"/>
      <family val="2"/>
      <scheme val="minor"/>
    </font>
    <font>
      <i/>
      <sz val="10"/>
      <color theme="0"/>
      <name val="Calibri"/>
      <family val="2"/>
      <scheme val="minor"/>
    </font>
    <font>
      <sz val="10"/>
      <color theme="0"/>
      <name val="Segoe UI Symbol"/>
      <family val="2"/>
    </font>
    <font>
      <vertAlign val="superscript"/>
      <sz val="9"/>
      <name val="Calibri"/>
      <family val="2"/>
      <scheme val="minor"/>
    </font>
    <font>
      <b/>
      <sz val="9"/>
      <name val="Calibri Light"/>
      <family val="2"/>
      <scheme val="major"/>
    </font>
    <font>
      <sz val="10"/>
      <color rgb="FF71FFB1"/>
      <name val="Calibri"/>
      <family val="2"/>
      <scheme val="minor"/>
    </font>
    <font>
      <b/>
      <sz val="10"/>
      <color theme="0"/>
      <name val="Segoe UI Symbol"/>
      <family val="2"/>
    </font>
    <font>
      <b/>
      <sz val="10"/>
      <name val="Calibri"/>
      <family val="2"/>
      <scheme val="minor"/>
    </font>
    <font>
      <sz val="10"/>
      <name val="Calibri"/>
      <family val="2"/>
      <scheme val="minor"/>
    </font>
    <font>
      <sz val="16"/>
      <color theme="0"/>
      <name val="Calibri"/>
      <family val="2"/>
      <scheme val="minor"/>
    </font>
    <font>
      <shadow/>
      <sz val="16"/>
      <color theme="0"/>
      <name val="Calibri"/>
      <family val="2"/>
      <scheme val="minor"/>
    </font>
    <font>
      <b/>
      <sz val="20"/>
      <color theme="0"/>
      <name val="AR CENA"/>
    </font>
    <font>
      <b/>
      <sz val="24"/>
      <color theme="0"/>
      <name val="AR CENA"/>
    </font>
    <font>
      <b/>
      <sz val="10"/>
      <color theme="0"/>
      <name val="Bell MT"/>
      <family val="1"/>
    </font>
    <font>
      <b/>
      <sz val="10"/>
      <color theme="1"/>
      <name val="Bell MT"/>
      <family val="1"/>
    </font>
    <font>
      <b/>
      <sz val="11"/>
      <name val="Calibri"/>
      <family val="2"/>
      <scheme val="minor"/>
    </font>
    <font>
      <sz val="9"/>
      <color rgb="FF000000"/>
      <name val="Calibri"/>
      <family val="2"/>
    </font>
    <font>
      <sz val="14"/>
      <color theme="1"/>
      <name val="Calibri"/>
      <family val="2"/>
      <scheme val="minor"/>
    </font>
    <font>
      <sz val="14"/>
      <color theme="0"/>
      <name val="Calibri"/>
      <family val="2"/>
      <scheme val="minor"/>
    </font>
    <font>
      <b/>
      <sz val="14"/>
      <color theme="0"/>
      <name val="Calibri"/>
      <family val="2"/>
      <scheme val="minor"/>
    </font>
  </fonts>
  <fills count="57">
    <fill>
      <patternFill patternType="none"/>
    </fill>
    <fill>
      <patternFill patternType="gray125"/>
    </fill>
    <fill>
      <patternFill patternType="solid">
        <fgColor rgb="FF002060"/>
        <bgColor indexed="64"/>
      </patternFill>
    </fill>
    <fill>
      <patternFill patternType="solid">
        <fgColor indexed="43"/>
        <bgColor indexed="64"/>
      </patternFill>
    </fill>
    <fill>
      <patternFill patternType="gray125">
        <bgColor rgb="FF00B0F0"/>
      </patternFill>
    </fill>
    <fill>
      <patternFill patternType="solid">
        <fgColor rgb="FF00B050"/>
        <bgColor indexed="64"/>
      </patternFill>
    </fill>
    <fill>
      <patternFill patternType="solid">
        <fgColor rgb="FF92D050"/>
        <bgColor indexed="64"/>
      </patternFill>
    </fill>
    <fill>
      <patternFill patternType="solid">
        <fgColor theme="2" tint="-0.749992370372631"/>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rgb="FFFFC000"/>
        <bgColor indexed="64"/>
      </patternFill>
    </fill>
    <fill>
      <patternFill patternType="solid">
        <fgColor rgb="FFC00000"/>
        <bgColor indexed="64"/>
      </patternFill>
    </fill>
    <fill>
      <patternFill patternType="solid">
        <fgColor rgb="FF3366FF"/>
        <bgColor indexed="64"/>
      </patternFill>
    </fill>
    <fill>
      <patternFill patternType="solid">
        <fgColor rgb="FF990033"/>
        <bgColor indexed="64"/>
      </patternFill>
    </fill>
    <fill>
      <patternFill patternType="solid">
        <fgColor rgb="FFFFFF00"/>
        <bgColor indexed="64"/>
      </patternFill>
    </fill>
    <fill>
      <patternFill patternType="solid">
        <fgColor rgb="FF7030A0"/>
        <bgColor indexed="64"/>
      </patternFill>
    </fill>
    <fill>
      <patternFill patternType="solid">
        <fgColor rgb="FF0070C0"/>
        <bgColor indexed="64"/>
      </patternFill>
    </fill>
    <fill>
      <patternFill patternType="solid">
        <fgColor rgb="FF71FFB1"/>
        <bgColor indexed="64"/>
      </patternFill>
    </fill>
    <fill>
      <patternFill patternType="solid">
        <fgColor rgb="FFC6EFCE"/>
      </patternFill>
    </fill>
    <fill>
      <patternFill patternType="solid">
        <fgColor rgb="FFFFC7CE"/>
      </patternFill>
    </fill>
    <fill>
      <patternFill patternType="solid">
        <fgColor theme="7" tint="0.39997558519241921"/>
        <bgColor indexed="65"/>
      </patternFill>
    </fill>
    <fill>
      <patternFill patternType="solid">
        <fgColor theme="8" tint="0.39997558519241921"/>
        <bgColor indexed="65"/>
      </patternFill>
    </fill>
    <fill>
      <patternFill patternType="solid">
        <fgColor theme="8" tint="0.39997558519241921"/>
        <bgColor indexed="64"/>
      </patternFill>
    </fill>
    <fill>
      <patternFill patternType="solid">
        <fgColor theme="3" tint="-0.249977111117893"/>
        <bgColor indexed="64"/>
      </patternFill>
    </fill>
    <fill>
      <patternFill patternType="solid">
        <fgColor theme="5"/>
        <bgColor indexed="64"/>
      </patternFill>
    </fill>
    <fill>
      <patternFill patternType="solid">
        <fgColor theme="2" tint="-0.249977111117893"/>
        <bgColor indexed="64"/>
      </patternFill>
    </fill>
    <fill>
      <patternFill patternType="solid">
        <fgColor rgb="FFFF3399"/>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4" tint="-0.499984740745262"/>
        <bgColor indexed="64"/>
      </patternFill>
    </fill>
    <fill>
      <patternFill patternType="solid">
        <fgColor theme="8" tint="-0.249977111117893"/>
        <bgColor indexed="64"/>
      </patternFill>
    </fill>
    <fill>
      <patternFill patternType="solid">
        <fgColor theme="0" tint="-0.499984740745262"/>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8" tint="-0.499984740745262"/>
        <bgColor indexed="64"/>
      </patternFill>
    </fill>
    <fill>
      <patternFill patternType="solid">
        <fgColor rgb="FF861212"/>
        <bgColor indexed="64"/>
      </patternFill>
    </fill>
    <fill>
      <patternFill patternType="solid">
        <fgColor rgb="FF6666FF"/>
        <bgColor indexed="64"/>
      </patternFill>
    </fill>
    <fill>
      <patternFill patternType="solid">
        <fgColor theme="1" tint="4.9989318521683403E-2"/>
        <bgColor indexed="64"/>
      </patternFill>
    </fill>
    <fill>
      <patternFill patternType="solid">
        <fgColor theme="2" tint="-0.89999084444715716"/>
        <bgColor indexed="64"/>
      </patternFill>
    </fill>
    <fill>
      <patternFill patternType="solid">
        <fgColor theme="6" tint="-0.499984740745262"/>
        <bgColor indexed="64"/>
      </patternFill>
    </fill>
    <fill>
      <patternFill patternType="solid">
        <fgColor theme="5" tint="0.39997558519241921"/>
        <bgColor indexed="64"/>
      </patternFill>
    </fill>
    <fill>
      <patternFill patternType="solid">
        <fgColor theme="1"/>
        <bgColor indexed="64"/>
      </patternFill>
    </fill>
    <fill>
      <patternFill patternType="solid">
        <fgColor theme="4"/>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rgb="FFFFCCCC"/>
        <bgColor indexed="64"/>
      </patternFill>
    </fill>
    <fill>
      <patternFill patternType="solid">
        <fgColor rgb="FF00C459"/>
        <bgColor indexed="64"/>
      </patternFill>
    </fill>
    <fill>
      <patternFill patternType="solid">
        <fgColor theme="3" tint="-0.499984740745262"/>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4" tint="0.59996337778862885"/>
        <bgColor indexed="64"/>
      </patternFill>
    </fill>
    <fill>
      <patternFill patternType="solid">
        <fgColor theme="9"/>
        <bgColor indexed="64"/>
      </patternFill>
    </fill>
    <fill>
      <patternFill patternType="solid">
        <fgColor theme="2"/>
        <bgColor indexed="64"/>
      </patternFill>
    </fill>
    <fill>
      <patternFill patternType="solid">
        <fgColor theme="7" tint="0.79998168889431442"/>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theme="4" tint="0.39997558519241921"/>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theme="0"/>
      </left>
      <right style="medium">
        <color theme="0"/>
      </right>
      <top style="medium">
        <color theme="0"/>
      </top>
      <bottom style="medium">
        <color theme="0"/>
      </bottom>
      <diagonal/>
    </border>
    <border>
      <left style="medium">
        <color indexed="64"/>
      </left>
      <right style="medium">
        <color indexed="64"/>
      </right>
      <top/>
      <bottom style="medium">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1"/>
      </left>
      <right style="medium">
        <color theme="1"/>
      </right>
      <top style="medium">
        <color theme="1"/>
      </top>
      <bottom style="medium">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style="thick">
        <color auto="1"/>
      </left>
      <right/>
      <top style="thick">
        <color auto="1"/>
      </top>
      <bottom/>
      <diagonal/>
    </border>
    <border>
      <left/>
      <right/>
      <top style="thick">
        <color auto="1"/>
      </top>
      <bottom/>
      <diagonal/>
    </border>
    <border>
      <left/>
      <right/>
      <top style="medium">
        <color indexed="64"/>
      </top>
      <bottom style="medium">
        <color indexed="64"/>
      </bottom>
      <diagonal/>
    </border>
    <border>
      <left/>
      <right/>
      <top style="thick">
        <color indexed="64"/>
      </top>
      <bottom style="medium">
        <color indexed="64"/>
      </bottom>
      <diagonal/>
    </border>
    <border>
      <left style="medium">
        <color indexed="64"/>
      </left>
      <right style="medium">
        <color indexed="64"/>
      </right>
      <top style="medium">
        <color indexed="64"/>
      </top>
      <bottom/>
      <diagonal/>
    </border>
    <border>
      <left/>
      <right style="thick">
        <color auto="1"/>
      </right>
      <top/>
      <bottom style="medium">
        <color indexed="64"/>
      </bottom>
      <diagonal/>
    </border>
    <border>
      <left style="thick">
        <color auto="1"/>
      </left>
      <right style="thick">
        <color auto="1"/>
      </right>
      <top style="medium">
        <color indexed="64"/>
      </top>
      <bottom style="medium">
        <color indexed="64"/>
      </bottom>
      <diagonal/>
    </border>
    <border>
      <left style="medium">
        <color indexed="64"/>
      </left>
      <right style="medium">
        <color indexed="64"/>
      </right>
      <top/>
      <bottom/>
      <diagonal/>
    </border>
    <border>
      <left/>
      <right style="hair">
        <color indexed="64"/>
      </right>
      <top/>
      <bottom/>
      <diagonal/>
    </border>
    <border>
      <left style="medium">
        <color indexed="64"/>
      </left>
      <right/>
      <top style="thick">
        <color indexed="64"/>
      </top>
      <bottom style="medium">
        <color indexed="64"/>
      </bottom>
      <diagonal/>
    </border>
    <border>
      <left style="medium">
        <color theme="1"/>
      </left>
      <right/>
      <top style="medium">
        <color theme="1"/>
      </top>
      <bottom/>
      <diagonal/>
    </border>
    <border>
      <left/>
      <right style="medium">
        <color theme="1"/>
      </right>
      <top style="medium">
        <color theme="1"/>
      </top>
      <bottom/>
      <diagonal/>
    </border>
    <border>
      <left style="thin">
        <color auto="1"/>
      </left>
      <right style="thin">
        <color auto="1"/>
      </right>
      <top style="medium">
        <color indexed="64"/>
      </top>
      <bottom style="medium">
        <color indexed="64"/>
      </bottom>
      <diagonal/>
    </border>
    <border>
      <left/>
      <right/>
      <top/>
      <bottom style="thick">
        <color auto="1"/>
      </bottom>
      <diagonal/>
    </border>
    <border>
      <left/>
      <right style="medium">
        <color indexed="64"/>
      </right>
      <top style="thick">
        <color auto="1"/>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theme="6" tint="-0.249977111117893"/>
      </left>
      <right style="medium">
        <color theme="6" tint="-0.249977111117893"/>
      </right>
      <top style="medium">
        <color theme="6" tint="-0.249977111117893"/>
      </top>
      <bottom style="medium">
        <color theme="6" tint="-0.249977111117893"/>
      </bottom>
      <diagonal/>
    </border>
    <border>
      <left style="medium">
        <color theme="6" tint="-0.249977111117893"/>
      </left>
      <right/>
      <top style="medium">
        <color theme="6" tint="-0.249977111117893"/>
      </top>
      <bottom/>
      <diagonal/>
    </border>
    <border>
      <left/>
      <right style="medium">
        <color theme="6" tint="-0.249977111117893"/>
      </right>
      <top style="medium">
        <color theme="6" tint="-0.249977111117893"/>
      </top>
      <bottom/>
      <diagonal/>
    </border>
    <border>
      <left style="medium">
        <color theme="6" tint="-0.249977111117893"/>
      </left>
      <right/>
      <top/>
      <bottom/>
      <diagonal/>
    </border>
    <border>
      <left/>
      <right style="medium">
        <color theme="6" tint="-0.249977111117893"/>
      </right>
      <top/>
      <bottom/>
      <diagonal/>
    </border>
    <border>
      <left style="medium">
        <color theme="6" tint="-0.249977111117893"/>
      </left>
      <right/>
      <top/>
      <bottom style="medium">
        <color theme="6" tint="-0.249977111117893"/>
      </bottom>
      <diagonal/>
    </border>
    <border>
      <left/>
      <right style="medium">
        <color theme="6" tint="-0.249977111117893"/>
      </right>
      <top/>
      <bottom style="medium">
        <color theme="6" tint="-0.249977111117893"/>
      </bottom>
      <diagonal/>
    </border>
    <border>
      <left style="medium">
        <color theme="6" tint="-0.249977111117893"/>
      </left>
      <right style="medium">
        <color theme="6" tint="-0.249977111117893"/>
      </right>
      <top/>
      <bottom/>
      <diagonal/>
    </border>
    <border>
      <left style="medium">
        <color theme="6" tint="-0.249977111117893"/>
      </left>
      <right style="medium">
        <color theme="6" tint="-0.249977111117893"/>
      </right>
      <top/>
      <bottom style="medium">
        <color theme="6" tint="-0.249977111117893"/>
      </bottom>
      <diagonal/>
    </border>
    <border>
      <left style="thin">
        <color indexed="64"/>
      </left>
      <right/>
      <top style="medium">
        <color indexed="64"/>
      </top>
      <bottom style="medium">
        <color indexed="64"/>
      </bottom>
      <diagonal/>
    </border>
    <border>
      <left style="thick">
        <color auto="1"/>
      </left>
      <right/>
      <top/>
      <bottom style="medium">
        <color indexed="64"/>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thick">
        <color auto="1"/>
      </bottom>
      <diagonal/>
    </border>
    <border>
      <left/>
      <right style="medium">
        <color indexed="64"/>
      </right>
      <top style="medium">
        <color indexed="64"/>
      </top>
      <bottom style="thick">
        <color auto="1"/>
      </bottom>
      <diagonal/>
    </border>
    <border>
      <left style="medium">
        <color indexed="64"/>
      </left>
      <right/>
      <top style="thick">
        <color auto="1"/>
      </top>
      <bottom/>
      <diagonal/>
    </border>
    <border>
      <left/>
      <right style="medium">
        <color indexed="64"/>
      </right>
      <top style="thick">
        <color auto="1"/>
      </top>
      <bottom/>
      <diagonal/>
    </border>
    <border>
      <left/>
      <right style="thick">
        <color auto="1"/>
      </right>
      <top style="medium">
        <color indexed="64"/>
      </top>
      <bottom style="medium">
        <color indexed="64"/>
      </bottom>
      <diagonal/>
    </border>
    <border>
      <left/>
      <right style="medium">
        <color auto="1"/>
      </right>
      <top style="medium">
        <color auto="1"/>
      </top>
      <bottom style="thin">
        <color indexed="64"/>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right/>
      <top style="medium">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style="medium">
        <color theme="1"/>
      </bottom>
      <diagonal/>
    </border>
    <border>
      <left style="medium">
        <color theme="1"/>
      </left>
      <right style="medium">
        <color theme="1"/>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theme="0"/>
      </left>
      <right style="medium">
        <color theme="0"/>
      </right>
      <top/>
      <bottom/>
      <diagonal/>
    </border>
    <border>
      <left style="medium">
        <color theme="1"/>
      </left>
      <right style="medium">
        <color theme="1"/>
      </right>
      <top style="medium">
        <color indexed="64"/>
      </top>
      <bottom/>
      <diagonal/>
    </border>
    <border>
      <left style="medium">
        <color theme="1"/>
      </left>
      <right style="medium">
        <color theme="1"/>
      </right>
      <top style="medium">
        <color indexed="64"/>
      </top>
      <bottom style="medium">
        <color theme="1"/>
      </bottom>
      <diagonal/>
    </border>
    <border>
      <left style="medium">
        <color indexed="64"/>
      </left>
      <right/>
      <top style="medium">
        <color theme="1"/>
      </top>
      <bottom style="medium">
        <color indexed="64"/>
      </bottom>
      <diagonal/>
    </border>
    <border>
      <left style="medium">
        <color indexed="64"/>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top style="medium">
        <color indexed="64"/>
      </top>
      <bottom style="medium">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thin">
        <color indexed="64"/>
      </top>
      <bottom style="medium">
        <color indexed="64"/>
      </bottom>
      <diagonal/>
    </border>
    <border>
      <left style="medium">
        <color theme="1"/>
      </left>
      <right style="thin">
        <color indexed="64"/>
      </right>
      <top style="thin">
        <color indexed="64"/>
      </top>
      <bottom style="thin">
        <color indexed="64"/>
      </bottom>
      <diagonal/>
    </border>
    <border>
      <left style="medium">
        <color theme="1"/>
      </left>
      <right style="thin">
        <color indexed="64"/>
      </right>
      <top style="thin">
        <color indexed="64"/>
      </top>
      <bottom style="medium">
        <color indexed="64"/>
      </bottom>
      <diagonal/>
    </border>
    <border>
      <left/>
      <right/>
      <top/>
      <bottom style="medium">
        <color theme="1"/>
      </bottom>
      <diagonal/>
    </border>
    <border>
      <left style="medium">
        <color theme="1"/>
      </left>
      <right style="thin">
        <color indexed="64"/>
      </right>
      <top style="medium">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right/>
      <top style="medium">
        <color theme="1"/>
      </top>
      <bottom/>
      <diagonal/>
    </border>
    <border>
      <left style="medium">
        <color indexed="64"/>
      </left>
      <right style="medium">
        <color theme="1"/>
      </right>
      <top style="medium">
        <color theme="1"/>
      </top>
      <bottom/>
      <diagonal/>
    </border>
    <border>
      <left style="medium">
        <color indexed="64"/>
      </left>
      <right style="medium">
        <color theme="1"/>
      </right>
      <top/>
      <bottom/>
      <diagonal/>
    </border>
    <border>
      <left style="medium">
        <color indexed="64"/>
      </left>
      <right style="medium">
        <color theme="1"/>
      </right>
      <top/>
      <bottom style="medium">
        <color theme="1"/>
      </bottom>
      <diagonal/>
    </border>
    <border>
      <left style="medium">
        <color theme="1"/>
      </left>
      <right style="medium">
        <color theme="1"/>
      </right>
      <top style="medium">
        <color theme="1"/>
      </top>
      <bottom style="medium">
        <color indexed="64"/>
      </bottom>
      <diagonal/>
    </border>
    <border>
      <left style="medium">
        <color theme="1"/>
      </left>
      <right style="medium">
        <color theme="1"/>
      </right>
      <top style="medium">
        <color indexed="64"/>
      </top>
      <bottom style="medium">
        <color indexed="64"/>
      </bottom>
      <diagonal/>
    </border>
    <border>
      <left style="medium">
        <color indexed="64"/>
      </left>
      <right style="medium">
        <color indexed="64"/>
      </right>
      <top style="medium">
        <color theme="1"/>
      </top>
      <bottom style="medium">
        <color theme="1"/>
      </bottom>
      <diagonal/>
    </border>
    <border>
      <left style="medium">
        <color indexed="64"/>
      </left>
      <right style="medium">
        <color theme="1"/>
      </right>
      <top style="medium">
        <color theme="1"/>
      </top>
      <bottom style="medium">
        <color theme="1"/>
      </bottom>
      <diagonal/>
    </border>
    <border>
      <left style="medium">
        <color indexed="64"/>
      </left>
      <right style="medium">
        <color indexed="64"/>
      </right>
      <top style="medium">
        <color theme="1"/>
      </top>
      <bottom/>
      <diagonal/>
    </border>
  </borders>
  <cellStyleXfs count="41">
    <xf numFmtId="191" fontId="0" fillId="0" borderId="0"/>
    <xf numFmtId="9"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91" fontId="9" fillId="4" borderId="0">
      <alignment horizontal="center"/>
    </xf>
    <xf numFmtId="191" fontId="6" fillId="0" borderId="0"/>
    <xf numFmtId="9" fontId="6" fillId="0" borderId="0" applyFont="0" applyFill="0" applyBorder="0" applyAlignment="0" applyProtection="0"/>
    <xf numFmtId="169" fontId="7" fillId="3" borderId="2">
      <protection locked="0"/>
    </xf>
    <xf numFmtId="170" fontId="7" fillId="3" borderId="2">
      <protection locked="0"/>
    </xf>
    <xf numFmtId="171" fontId="6" fillId="0" borderId="0" applyFont="0" applyFill="0" applyBorder="0" applyAlignment="0" applyProtection="0"/>
    <xf numFmtId="191" fontId="6" fillId="0" borderId="0"/>
    <xf numFmtId="167" fontId="6" fillId="0" borderId="0" applyFont="0" applyFill="0" applyBorder="0" applyAlignment="0" applyProtection="0"/>
    <xf numFmtId="172" fontId="7" fillId="0" borderId="0"/>
    <xf numFmtId="173" fontId="7" fillId="3" borderId="2">
      <protection locked="0"/>
    </xf>
    <xf numFmtId="174" fontId="7" fillId="3" borderId="2">
      <protection locked="0"/>
    </xf>
    <xf numFmtId="176" fontId="7" fillId="3" borderId="2">
      <protection locked="0"/>
    </xf>
    <xf numFmtId="177" fontId="7" fillId="3" borderId="2">
      <protection locked="0"/>
    </xf>
    <xf numFmtId="175" fontId="7" fillId="3" borderId="2">
      <protection locked="0"/>
    </xf>
    <xf numFmtId="169" fontId="7" fillId="0" borderId="0"/>
    <xf numFmtId="172" fontId="7" fillId="3" borderId="2">
      <protection locked="0"/>
    </xf>
    <xf numFmtId="173" fontId="7" fillId="0" borderId="0"/>
    <xf numFmtId="173" fontId="7" fillId="0" borderId="3"/>
    <xf numFmtId="169" fontId="7" fillId="0" borderId="3"/>
    <xf numFmtId="177" fontId="7" fillId="0" borderId="0"/>
    <xf numFmtId="167" fontId="2" fillId="0" borderId="0" applyFont="0" applyFill="0" applyBorder="0" applyAlignment="0" applyProtection="0"/>
    <xf numFmtId="44" fontId="2" fillId="0" borderId="0" applyFont="0" applyFill="0" applyBorder="0" applyAlignment="0" applyProtection="0"/>
    <xf numFmtId="191" fontId="2" fillId="0" borderId="0"/>
    <xf numFmtId="9"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91" fontId="19" fillId="0" borderId="9" applyNumberFormat="0" applyFill="0" applyAlignment="0" applyProtection="0"/>
    <xf numFmtId="191" fontId="20" fillId="18" borderId="0" applyNumberFormat="0" applyBorder="0" applyAlignment="0" applyProtection="0"/>
    <xf numFmtId="191" fontId="21" fillId="19" borderId="0" applyNumberFormat="0" applyBorder="0" applyAlignment="0" applyProtection="0"/>
    <xf numFmtId="191" fontId="2" fillId="20" borderId="0" applyNumberFormat="0" applyBorder="0" applyAlignment="0" applyProtection="0"/>
    <xf numFmtId="191" fontId="2" fillId="21" borderId="0" applyNumberFormat="0" applyBorder="0" applyAlignment="0" applyProtection="0"/>
    <xf numFmtId="191" fontId="28" fillId="0" borderId="0" applyNumberForma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9" fillId="4" borderId="0">
      <alignment horizontal="center"/>
    </xf>
    <xf numFmtId="0" fontId="2" fillId="0" borderId="0"/>
  </cellStyleXfs>
  <cellXfs count="1250">
    <xf numFmtId="191" fontId="0" fillId="0" borderId="0" xfId="0"/>
    <xf numFmtId="191" fontId="0" fillId="0" borderId="0" xfId="0" applyAlignment="1">
      <alignment horizontal="center"/>
    </xf>
    <xf numFmtId="191" fontId="0" fillId="0" borderId="0" xfId="0" applyAlignment="1">
      <alignment horizontal="center" wrapText="1"/>
    </xf>
    <xf numFmtId="191" fontId="0" fillId="23" borderId="0" xfId="0" applyFill="1"/>
    <xf numFmtId="191" fontId="4" fillId="23" borderId="0" xfId="0" applyFont="1" applyFill="1"/>
    <xf numFmtId="191" fontId="4" fillId="23" borderId="11" xfId="0" applyFont="1" applyFill="1" applyBorder="1"/>
    <xf numFmtId="191" fontId="4" fillId="23" borderId="0" xfId="33" applyFont="1" applyFill="1"/>
    <xf numFmtId="9" fontId="4" fillId="23" borderId="0" xfId="1" applyFont="1" applyFill="1"/>
    <xf numFmtId="191" fontId="3" fillId="23" borderId="0" xfId="0" applyFont="1" applyFill="1"/>
    <xf numFmtId="10" fontId="3" fillId="23" borderId="10" xfId="32" applyNumberFormat="1" applyFont="1" applyFill="1" applyBorder="1"/>
    <xf numFmtId="191" fontId="23" fillId="23" borderId="0" xfId="0" applyFont="1" applyFill="1" applyBorder="1" applyAlignment="1">
      <alignment horizontal="center" vertical="center" textRotation="45"/>
    </xf>
    <xf numFmtId="167" fontId="4" fillId="23" borderId="13" xfId="32" applyNumberFormat="1" applyFont="1" applyFill="1" applyBorder="1"/>
    <xf numFmtId="10" fontId="4" fillId="23" borderId="20" xfId="32" applyNumberFormat="1" applyFont="1" applyFill="1" applyBorder="1"/>
    <xf numFmtId="167" fontId="3" fillId="23" borderId="10" xfId="31" applyNumberFormat="1" applyFont="1" applyFill="1" applyBorder="1"/>
    <xf numFmtId="191" fontId="24" fillId="23" borderId="0" xfId="0" applyFont="1" applyFill="1"/>
    <xf numFmtId="191" fontId="26" fillId="23" borderId="0" xfId="0" applyFont="1" applyFill="1"/>
    <xf numFmtId="191" fontId="22" fillId="23" borderId="0" xfId="0" applyFont="1" applyFill="1"/>
    <xf numFmtId="191" fontId="3" fillId="23" borderId="10" xfId="34" applyFont="1" applyFill="1" applyBorder="1"/>
    <xf numFmtId="9" fontId="3" fillId="23" borderId="0" xfId="1" applyFont="1" applyFill="1"/>
    <xf numFmtId="191" fontId="35" fillId="2" borderId="0" xfId="0" applyFont="1" applyFill="1" applyBorder="1" applyAlignment="1" applyProtection="1">
      <alignment horizontal="center" vertical="center" wrapText="1"/>
      <protection locked="0" hidden="1"/>
    </xf>
    <xf numFmtId="191" fontId="10" fillId="2" borderId="0" xfId="0" applyFont="1" applyFill="1" applyProtection="1">
      <protection hidden="1"/>
    </xf>
    <xf numFmtId="191" fontId="10" fillId="5" borderId="0" xfId="0" applyFont="1" applyFill="1" applyProtection="1">
      <protection hidden="1"/>
    </xf>
    <xf numFmtId="191" fontId="12" fillId="5" borderId="0" xfId="0" applyFont="1" applyFill="1" applyAlignment="1" applyProtection="1">
      <protection hidden="1"/>
    </xf>
    <xf numFmtId="191" fontId="17" fillId="2" borderId="0" xfId="0" applyFont="1" applyFill="1" applyAlignment="1" applyProtection="1">
      <protection hidden="1"/>
    </xf>
    <xf numFmtId="191" fontId="12" fillId="2" borderId="0" xfId="0" applyFont="1" applyFill="1" applyAlignment="1" applyProtection="1">
      <protection hidden="1"/>
    </xf>
    <xf numFmtId="191" fontId="11" fillId="2" borderId="0" xfId="0" applyFont="1" applyFill="1" applyAlignment="1" applyProtection="1">
      <protection hidden="1"/>
    </xf>
    <xf numFmtId="191" fontId="15" fillId="2" borderId="0" xfId="0" applyFont="1" applyFill="1" applyAlignment="1" applyProtection="1">
      <alignment horizontal="center" wrapText="1"/>
      <protection hidden="1"/>
    </xf>
    <xf numFmtId="191" fontId="13" fillId="2" borderId="0" xfId="0" applyFont="1" applyFill="1" applyBorder="1" applyAlignment="1" applyProtection="1">
      <alignment horizontal="center" vertical="center" wrapText="1" readingOrder="1"/>
      <protection hidden="1"/>
    </xf>
    <xf numFmtId="191" fontId="10" fillId="2" borderId="0" xfId="0" applyFont="1" applyFill="1" applyBorder="1" applyProtection="1">
      <protection hidden="1"/>
    </xf>
    <xf numFmtId="191" fontId="17" fillId="2" borderId="18" xfId="0" applyFont="1" applyFill="1" applyBorder="1" applyAlignment="1" applyProtection="1">
      <protection hidden="1"/>
    </xf>
    <xf numFmtId="191" fontId="14" fillId="2" borderId="18" xfId="0" applyFont="1" applyFill="1" applyBorder="1" applyAlignment="1" applyProtection="1">
      <alignment wrapText="1" readingOrder="1"/>
      <protection hidden="1"/>
    </xf>
    <xf numFmtId="191" fontId="10" fillId="2" borderId="18" xfId="0" applyFont="1" applyFill="1" applyBorder="1" applyProtection="1">
      <protection hidden="1"/>
    </xf>
    <xf numFmtId="191" fontId="10" fillId="5" borderId="0" xfId="0" applyFont="1" applyFill="1" applyBorder="1" applyProtection="1">
      <protection hidden="1"/>
    </xf>
    <xf numFmtId="191" fontId="17" fillId="2" borderId="0" xfId="0" applyFont="1" applyFill="1" applyBorder="1" applyAlignment="1" applyProtection="1">
      <protection hidden="1"/>
    </xf>
    <xf numFmtId="191" fontId="14" fillId="2" borderId="0" xfId="0" applyFont="1" applyFill="1" applyBorder="1" applyAlignment="1" applyProtection="1">
      <alignment wrapText="1" readingOrder="1"/>
      <protection hidden="1"/>
    </xf>
    <xf numFmtId="191" fontId="4" fillId="2" borderId="0" xfId="0" applyFont="1" applyFill="1" applyBorder="1" applyAlignment="1" applyProtection="1">
      <alignment horizontal="center" vertical="center"/>
      <protection hidden="1"/>
    </xf>
    <xf numFmtId="9" fontId="35" fillId="2" borderId="0" xfId="1" applyFont="1" applyFill="1" applyBorder="1" applyAlignment="1" applyProtection="1">
      <alignment horizontal="center" vertical="center" wrapText="1" readingOrder="1"/>
      <protection hidden="1"/>
    </xf>
    <xf numFmtId="191" fontId="34" fillId="2" borderId="0" xfId="0" applyFont="1" applyFill="1" applyBorder="1" applyAlignment="1" applyProtection="1">
      <protection hidden="1"/>
    </xf>
    <xf numFmtId="191" fontId="15" fillId="2" borderId="0" xfId="0" applyFont="1" applyFill="1" applyBorder="1" applyAlignment="1" applyProtection="1">
      <alignment vertical="center"/>
      <protection hidden="1"/>
    </xf>
    <xf numFmtId="191" fontId="18" fillId="2" borderId="0" xfId="0" applyFont="1" applyFill="1" applyBorder="1" applyAlignment="1" applyProtection="1">
      <protection hidden="1"/>
    </xf>
    <xf numFmtId="191" fontId="16" fillId="2" borderId="0" xfId="0" applyFont="1" applyFill="1" applyBorder="1" applyAlignment="1" applyProtection="1">
      <alignment horizontal="center" vertical="center" wrapText="1"/>
      <protection hidden="1"/>
    </xf>
    <xf numFmtId="191" fontId="13" fillId="2" borderId="0" xfId="0" applyFont="1" applyFill="1" applyBorder="1" applyAlignment="1" applyProtection="1">
      <alignment horizontal="center" vertical="center" wrapText="1"/>
      <protection hidden="1"/>
    </xf>
    <xf numFmtId="191" fontId="33" fillId="2" borderId="0" xfId="0" applyFont="1" applyFill="1" applyBorder="1" applyAlignment="1" applyProtection="1">
      <protection hidden="1"/>
    </xf>
    <xf numFmtId="191" fontId="15" fillId="2" borderId="0" xfId="0" applyFont="1" applyFill="1" applyAlignment="1" applyProtection="1">
      <alignment wrapText="1" readingOrder="1"/>
      <protection hidden="1"/>
    </xf>
    <xf numFmtId="191" fontId="4" fillId="29" borderId="0" xfId="0" applyFont="1" applyFill="1"/>
    <xf numFmtId="191" fontId="4" fillId="29" borderId="0" xfId="0" applyFont="1" applyFill="1" applyBorder="1" applyAlignment="1">
      <alignment horizontal="center"/>
    </xf>
    <xf numFmtId="191" fontId="10" fillId="31" borderId="0" xfId="0" applyFont="1" applyFill="1"/>
    <xf numFmtId="191" fontId="15" fillId="31" borderId="0" xfId="0" applyFont="1" applyFill="1" applyBorder="1"/>
    <xf numFmtId="191" fontId="15" fillId="11" borderId="26" xfId="0" applyFont="1" applyFill="1" applyBorder="1"/>
    <xf numFmtId="166" fontId="15" fillId="11" borderId="37" xfId="28" applyFont="1" applyFill="1" applyBorder="1"/>
    <xf numFmtId="191" fontId="4" fillId="11" borderId="26" xfId="0" applyFont="1" applyFill="1" applyBorder="1"/>
    <xf numFmtId="1" fontId="4" fillId="11" borderId="37" xfId="0" applyNumberFormat="1" applyFont="1" applyFill="1" applyBorder="1"/>
    <xf numFmtId="191" fontId="4" fillId="11" borderId="30" xfId="0" applyFont="1" applyFill="1" applyBorder="1"/>
    <xf numFmtId="191" fontId="4" fillId="29" borderId="21" xfId="0" applyFont="1" applyFill="1" applyBorder="1"/>
    <xf numFmtId="180" fontId="4" fillId="29" borderId="23" xfId="0" applyNumberFormat="1" applyFont="1" applyFill="1" applyBorder="1"/>
    <xf numFmtId="191" fontId="4" fillId="29" borderId="0" xfId="0" applyFont="1" applyFill="1" applyBorder="1"/>
    <xf numFmtId="9" fontId="4" fillId="29" borderId="25" xfId="1" applyFont="1" applyFill="1" applyBorder="1"/>
    <xf numFmtId="191" fontId="4" fillId="29" borderId="25" xfId="0" applyFont="1" applyFill="1" applyBorder="1"/>
    <xf numFmtId="164" fontId="4" fillId="29" borderId="25" xfId="0" applyNumberFormat="1" applyFont="1" applyFill="1" applyBorder="1"/>
    <xf numFmtId="165" fontId="4" fillId="29" borderId="25" xfId="0" applyNumberFormat="1" applyFont="1" applyFill="1" applyBorder="1"/>
    <xf numFmtId="191" fontId="4" fillId="29" borderId="28" xfId="0" applyFont="1" applyFill="1" applyBorder="1"/>
    <xf numFmtId="191" fontId="4" fillId="29" borderId="11" xfId="0" applyFont="1" applyFill="1" applyBorder="1"/>
    <xf numFmtId="191" fontId="4" fillId="29" borderId="29" xfId="0" applyFont="1" applyFill="1" applyBorder="1"/>
    <xf numFmtId="2" fontId="4" fillId="29" borderId="0" xfId="0" applyNumberFormat="1" applyFont="1" applyFill="1" applyBorder="1" applyAlignment="1">
      <alignment horizontal="center"/>
    </xf>
    <xf numFmtId="191" fontId="4" fillId="29" borderId="0" xfId="0" applyFont="1" applyFill="1" applyBorder="1" applyAlignment="1">
      <alignment horizontal="left" indent="2"/>
    </xf>
    <xf numFmtId="178" fontId="4" fillId="29" borderId="0" xfId="0" applyNumberFormat="1" applyFont="1" applyFill="1" applyBorder="1" applyAlignment="1">
      <alignment horizontal="center"/>
    </xf>
    <xf numFmtId="191" fontId="4" fillId="29" borderId="21" xfId="26" applyFont="1" applyFill="1" applyBorder="1"/>
    <xf numFmtId="1" fontId="4" fillId="29" borderId="0" xfId="0" applyNumberFormat="1" applyFont="1" applyFill="1" applyBorder="1"/>
    <xf numFmtId="191" fontId="4" fillId="29" borderId="24" xfId="26" applyFont="1" applyFill="1" applyBorder="1"/>
    <xf numFmtId="191" fontId="4" fillId="29" borderId="0" xfId="26" applyFont="1" applyFill="1"/>
    <xf numFmtId="178" fontId="4" fillId="29" borderId="0" xfId="26" applyNumberFormat="1" applyFont="1" applyFill="1" applyAlignment="1">
      <alignment horizontal="center"/>
    </xf>
    <xf numFmtId="191" fontId="36" fillId="29" borderId="24" xfId="26" applyFont="1" applyFill="1" applyBorder="1"/>
    <xf numFmtId="191" fontId="36" fillId="29" borderId="0" xfId="26" applyFont="1" applyFill="1" applyBorder="1"/>
    <xf numFmtId="191" fontId="4" fillId="29" borderId="0" xfId="26" applyFont="1" applyFill="1" applyAlignment="1">
      <alignment horizontal="center"/>
    </xf>
    <xf numFmtId="178" fontId="4" fillId="29" borderId="24" xfId="29" applyNumberFormat="1" applyFont="1" applyFill="1" applyBorder="1"/>
    <xf numFmtId="191" fontId="4" fillId="29" borderId="13" xfId="26" applyFont="1" applyFill="1" applyBorder="1"/>
    <xf numFmtId="178" fontId="4" fillId="29" borderId="13" xfId="29" applyNumberFormat="1" applyFont="1" applyFill="1" applyBorder="1"/>
    <xf numFmtId="191" fontId="3" fillId="11" borderId="10" xfId="26" applyFont="1" applyFill="1" applyBorder="1"/>
    <xf numFmtId="178" fontId="3" fillId="11" borderId="10" xfId="26" applyNumberFormat="1" applyFont="1" applyFill="1" applyBorder="1"/>
    <xf numFmtId="167" fontId="3" fillId="11" borderId="10" xfId="26" applyNumberFormat="1" applyFont="1" applyFill="1" applyBorder="1"/>
    <xf numFmtId="191" fontId="10" fillId="29" borderId="0" xfId="0" applyFont="1" applyFill="1"/>
    <xf numFmtId="191" fontId="15" fillId="29" borderId="24" xfId="0" applyFont="1" applyFill="1" applyBorder="1"/>
    <xf numFmtId="191" fontId="15" fillId="29" borderId="0" xfId="0" applyFont="1" applyFill="1"/>
    <xf numFmtId="191" fontId="12" fillId="11" borderId="28" xfId="0" applyFont="1" applyFill="1" applyBorder="1"/>
    <xf numFmtId="191" fontId="15" fillId="11" borderId="11" xfId="0" applyFont="1" applyFill="1" applyBorder="1"/>
    <xf numFmtId="9" fontId="15" fillId="29" borderId="0" xfId="1" applyFont="1" applyFill="1"/>
    <xf numFmtId="191" fontId="12" fillId="29" borderId="0" xfId="0" applyFont="1" applyFill="1" applyBorder="1" applyAlignment="1" applyProtection="1">
      <alignment horizontal="center"/>
      <protection hidden="1"/>
    </xf>
    <xf numFmtId="184" fontId="15" fillId="29" borderId="0" xfId="0" applyNumberFormat="1" applyFont="1" applyFill="1" applyBorder="1"/>
    <xf numFmtId="191" fontId="15" fillId="29" borderId="0" xfId="0" applyFont="1" applyFill="1" applyBorder="1"/>
    <xf numFmtId="191" fontId="0" fillId="29" borderId="0" xfId="0" applyFill="1"/>
    <xf numFmtId="184" fontId="0" fillId="29" borderId="0" xfId="0" applyNumberFormat="1" applyFill="1"/>
    <xf numFmtId="167" fontId="0" fillId="29" borderId="0" xfId="0" applyNumberFormat="1" applyFill="1"/>
    <xf numFmtId="166" fontId="0" fillId="29" borderId="0" xfId="0" applyNumberFormat="1" applyFill="1"/>
    <xf numFmtId="191" fontId="4" fillId="5" borderId="21" xfId="0" applyFont="1" applyFill="1" applyBorder="1"/>
    <xf numFmtId="191" fontId="4" fillId="29" borderId="0" xfId="0" applyFont="1" applyFill="1" applyAlignment="1">
      <alignment horizontal="center" wrapText="1"/>
    </xf>
    <xf numFmtId="167" fontId="4" fillId="29" borderId="0" xfId="0" applyNumberFormat="1" applyFont="1" applyFill="1" applyBorder="1"/>
    <xf numFmtId="9" fontId="4" fillId="29" borderId="27" xfId="1" applyFont="1" applyFill="1" applyBorder="1"/>
    <xf numFmtId="191" fontId="4" fillId="5" borderId="26" xfId="0" applyFont="1" applyFill="1" applyBorder="1" applyAlignment="1">
      <alignment horizontal="center" vertical="center" wrapText="1"/>
    </xf>
    <xf numFmtId="191" fontId="4" fillId="5" borderId="10" xfId="0" applyFont="1" applyFill="1" applyBorder="1" applyAlignment="1">
      <alignment horizontal="center" vertical="center" wrapText="1"/>
    </xf>
    <xf numFmtId="181" fontId="4" fillId="29" borderId="27" xfId="0" applyNumberFormat="1" applyFont="1" applyFill="1" applyBorder="1"/>
    <xf numFmtId="9" fontId="4" fillId="29" borderId="0" xfId="0" applyNumberFormat="1" applyFont="1" applyFill="1" applyBorder="1"/>
    <xf numFmtId="191" fontId="4" fillId="5" borderId="30" xfId="0" applyFont="1" applyFill="1" applyBorder="1" applyAlignment="1">
      <alignment horizontal="center" vertical="center" wrapText="1"/>
    </xf>
    <xf numFmtId="191" fontId="29" fillId="29" borderId="0" xfId="4" applyFont="1" applyFill="1" applyAlignment="1">
      <alignment horizontal="left" vertical="center"/>
    </xf>
    <xf numFmtId="191" fontId="30" fillId="29" borderId="0" xfId="0" applyFont="1" applyFill="1"/>
    <xf numFmtId="191" fontId="30" fillId="29" borderId="24" xfId="0" applyFont="1" applyFill="1" applyBorder="1"/>
    <xf numFmtId="191" fontId="30" fillId="29" borderId="0" xfId="0" applyFont="1" applyFill="1" applyBorder="1"/>
    <xf numFmtId="191" fontId="30" fillId="29" borderId="25" xfId="0" applyFont="1" applyFill="1" applyBorder="1"/>
    <xf numFmtId="178" fontId="30" fillId="29" borderId="0" xfId="0" applyNumberFormat="1" applyFont="1" applyFill="1" applyBorder="1" applyAlignment="1">
      <alignment horizontal="center"/>
    </xf>
    <xf numFmtId="1" fontId="30" fillId="29" borderId="42" xfId="0" applyNumberFormat="1" applyFont="1" applyFill="1" applyBorder="1" applyAlignment="1">
      <alignment horizontal="center"/>
    </xf>
    <xf numFmtId="178" fontId="30" fillId="29" borderId="25" xfId="0" applyNumberFormat="1" applyFont="1" applyFill="1" applyBorder="1" applyAlignment="1">
      <alignment horizontal="center"/>
    </xf>
    <xf numFmtId="1" fontId="30" fillId="29" borderId="0" xfId="0" applyNumberFormat="1" applyFont="1" applyFill="1" applyBorder="1" applyAlignment="1">
      <alignment horizontal="center"/>
    </xf>
    <xf numFmtId="1" fontId="30" fillId="29" borderId="0" xfId="0" applyNumberFormat="1" applyFont="1" applyFill="1" applyBorder="1"/>
    <xf numFmtId="191" fontId="30" fillId="28" borderId="24" xfId="0" applyFont="1" applyFill="1" applyBorder="1" applyAlignment="1">
      <alignment horizontal="center"/>
    </xf>
    <xf numFmtId="1" fontId="30" fillId="11" borderId="41" xfId="0" applyNumberFormat="1" applyFont="1" applyFill="1" applyBorder="1" applyAlignment="1">
      <alignment horizontal="center"/>
    </xf>
    <xf numFmtId="178" fontId="30" fillId="11" borderId="30" xfId="0" applyNumberFormat="1" applyFont="1" applyFill="1" applyBorder="1" applyAlignment="1">
      <alignment horizontal="center"/>
    </xf>
    <xf numFmtId="1" fontId="30" fillId="11" borderId="13" xfId="0" applyNumberFormat="1" applyFont="1" applyFill="1" applyBorder="1" applyAlignment="1">
      <alignment horizontal="center"/>
    </xf>
    <xf numFmtId="191" fontId="29" fillId="11" borderId="26" xfId="30" applyFont="1" applyFill="1" applyBorder="1" applyAlignment="1"/>
    <xf numFmtId="191" fontId="30" fillId="11" borderId="37" xfId="0" applyFont="1" applyFill="1" applyBorder="1"/>
    <xf numFmtId="1" fontId="30" fillId="11" borderId="37" xfId="1" applyNumberFormat="1" applyFont="1" applyFill="1" applyBorder="1" applyAlignment="1">
      <alignment horizontal="center"/>
    </xf>
    <xf numFmtId="1" fontId="30" fillId="11" borderId="10" xfId="0" applyNumberFormat="1" applyFont="1" applyFill="1" applyBorder="1" applyAlignment="1">
      <alignment horizontal="center"/>
    </xf>
    <xf numFmtId="191" fontId="29" fillId="27" borderId="21" xfId="4" applyFont="1" applyFill="1" applyBorder="1" applyAlignment="1"/>
    <xf numFmtId="191" fontId="30" fillId="29" borderId="24" xfId="0" applyFont="1" applyFill="1" applyBorder="1" applyAlignment="1"/>
    <xf numFmtId="191" fontId="30" fillId="29" borderId="10" xfId="0" applyFont="1" applyFill="1" applyBorder="1"/>
    <xf numFmtId="191" fontId="30" fillId="29" borderId="13" xfId="0" applyFont="1" applyFill="1" applyBorder="1"/>
    <xf numFmtId="191" fontId="29" fillId="28" borderId="21" xfId="4" applyFont="1" applyFill="1" applyBorder="1" applyAlignment="1"/>
    <xf numFmtId="191" fontId="29" fillId="28" borderId="22" xfId="4" applyFont="1" applyFill="1" applyBorder="1" applyAlignment="1"/>
    <xf numFmtId="191" fontId="30" fillId="28" borderId="22" xfId="0" applyFont="1" applyFill="1" applyBorder="1"/>
    <xf numFmtId="191" fontId="29" fillId="28" borderId="22" xfId="4" applyFont="1" applyFill="1" applyBorder="1" applyAlignment="1">
      <alignment horizontal="left" vertical="center"/>
    </xf>
    <xf numFmtId="191" fontId="30" fillId="28" borderId="23" xfId="0" applyFont="1" applyFill="1" applyBorder="1"/>
    <xf numFmtId="191" fontId="29" fillId="28" borderId="10" xfId="30" applyFont="1" applyFill="1" applyBorder="1" applyAlignment="1">
      <alignment horizontal="center"/>
    </xf>
    <xf numFmtId="1" fontId="30" fillId="29" borderId="10" xfId="0" applyNumberFormat="1" applyFont="1" applyFill="1" applyBorder="1" applyAlignment="1">
      <alignment horizontal="center"/>
    </xf>
    <xf numFmtId="191" fontId="30" fillId="28" borderId="39" xfId="0" applyFont="1" applyFill="1" applyBorder="1"/>
    <xf numFmtId="178" fontId="30" fillId="29" borderId="11" xfId="0" applyNumberFormat="1" applyFont="1" applyFill="1" applyBorder="1" applyAlignment="1">
      <alignment horizontal="center"/>
    </xf>
    <xf numFmtId="178" fontId="30" fillId="29" borderId="29" xfId="0" applyNumberFormat="1" applyFont="1" applyFill="1" applyBorder="1" applyAlignment="1">
      <alignment horizontal="center"/>
    </xf>
    <xf numFmtId="178" fontId="29" fillId="11" borderId="79" xfId="0" applyNumberFormat="1" applyFont="1" applyFill="1" applyBorder="1" applyAlignment="1">
      <alignment horizontal="center"/>
    </xf>
    <xf numFmtId="178" fontId="29" fillId="11" borderId="11" xfId="0" applyNumberFormat="1" applyFont="1" applyFill="1" applyBorder="1" applyAlignment="1">
      <alignment horizontal="center"/>
    </xf>
    <xf numFmtId="178" fontId="29" fillId="11" borderId="40" xfId="0" applyNumberFormat="1" applyFont="1" applyFill="1" applyBorder="1" applyAlignment="1">
      <alignment horizontal="center"/>
    </xf>
    <xf numFmtId="178" fontId="30" fillId="29" borderId="21" xfId="0" applyNumberFormat="1" applyFont="1" applyFill="1" applyBorder="1" applyAlignment="1">
      <alignment horizontal="center"/>
    </xf>
    <xf numFmtId="178" fontId="30" fillId="29" borderId="22" xfId="0" applyNumberFormat="1" applyFont="1" applyFill="1" applyBorder="1" applyAlignment="1">
      <alignment horizontal="center"/>
    </xf>
    <xf numFmtId="178" fontId="30" fillId="29" borderId="23" xfId="0" applyNumberFormat="1" applyFont="1" applyFill="1" applyBorder="1" applyAlignment="1">
      <alignment horizontal="center"/>
    </xf>
    <xf numFmtId="178" fontId="30" fillId="29" borderId="24" xfId="0" applyNumberFormat="1" applyFont="1" applyFill="1" applyBorder="1" applyAlignment="1">
      <alignment horizontal="center"/>
    </xf>
    <xf numFmtId="178" fontId="30" fillId="29" borderId="28" xfId="0" applyNumberFormat="1" applyFont="1" applyFill="1" applyBorder="1" applyAlignment="1">
      <alignment horizontal="center"/>
    </xf>
    <xf numFmtId="1" fontId="30" fillId="5" borderId="42" xfId="0" applyNumberFormat="1" applyFont="1" applyFill="1" applyBorder="1" applyAlignment="1">
      <alignment horizontal="center"/>
    </xf>
    <xf numFmtId="178" fontId="30" fillId="5" borderId="0" xfId="0" applyNumberFormat="1" applyFont="1" applyFill="1" applyBorder="1" applyAlignment="1">
      <alignment horizontal="center"/>
    </xf>
    <xf numFmtId="191" fontId="29" fillId="5" borderId="26" xfId="0" applyFont="1" applyFill="1" applyBorder="1" applyAlignment="1">
      <alignment horizontal="center"/>
    </xf>
    <xf numFmtId="178" fontId="30" fillId="5" borderId="21" xfId="0" applyNumberFormat="1" applyFont="1" applyFill="1" applyBorder="1" applyAlignment="1">
      <alignment horizontal="center"/>
    </xf>
    <xf numFmtId="178" fontId="30" fillId="5" borderId="24" xfId="0" applyNumberFormat="1" applyFont="1" applyFill="1" applyBorder="1" applyAlignment="1">
      <alignment horizontal="center"/>
    </xf>
    <xf numFmtId="178" fontId="30" fillId="5" borderId="28" xfId="0" applyNumberFormat="1" applyFont="1" applyFill="1" applyBorder="1" applyAlignment="1">
      <alignment horizontal="center"/>
    </xf>
    <xf numFmtId="191" fontId="10" fillId="31" borderId="0" xfId="0" applyFont="1" applyFill="1" applyBorder="1" applyAlignment="1">
      <alignment horizontal="center"/>
    </xf>
    <xf numFmtId="191" fontId="4" fillId="27" borderId="26" xfId="26" applyFont="1" applyFill="1" applyBorder="1"/>
    <xf numFmtId="191" fontId="4" fillId="27" borderId="37" xfId="26" applyFont="1" applyFill="1" applyBorder="1"/>
    <xf numFmtId="191" fontId="4" fillId="27" borderId="30" xfId="26" applyFont="1" applyFill="1" applyBorder="1"/>
    <xf numFmtId="178" fontId="4" fillId="29" borderId="39" xfId="29" applyNumberFormat="1" applyFont="1" applyFill="1" applyBorder="1"/>
    <xf numFmtId="178" fontId="4" fillId="29" borderId="42" xfId="29" applyNumberFormat="1" applyFont="1" applyFill="1" applyBorder="1"/>
    <xf numFmtId="191" fontId="30" fillId="29" borderId="28" xfId="0" applyFont="1" applyFill="1" applyBorder="1"/>
    <xf numFmtId="191" fontId="30" fillId="29" borderId="11" xfId="0" applyFont="1" applyFill="1" applyBorder="1"/>
    <xf numFmtId="191" fontId="30" fillId="29" borderId="29" xfId="0" applyFont="1" applyFill="1" applyBorder="1"/>
    <xf numFmtId="191" fontId="30" fillId="29" borderId="1" xfId="0" applyFont="1" applyFill="1" applyBorder="1"/>
    <xf numFmtId="166" fontId="15" fillId="11" borderId="37" xfId="28" applyFont="1" applyFill="1" applyBorder="1" applyAlignment="1">
      <alignment horizontal="center"/>
    </xf>
    <xf numFmtId="9" fontId="27" fillId="35" borderId="12" xfId="1" applyFont="1" applyFill="1" applyBorder="1" applyAlignment="1" applyProtection="1">
      <alignment horizontal="center" vertical="center" wrapText="1"/>
      <protection locked="0" hidden="1"/>
    </xf>
    <xf numFmtId="2" fontId="27" fillId="35" borderId="12" xfId="0" applyNumberFormat="1" applyFont="1" applyFill="1" applyBorder="1" applyAlignment="1" applyProtection="1">
      <alignment horizontal="center" vertical="center" wrapText="1"/>
      <protection locked="0" hidden="1"/>
    </xf>
    <xf numFmtId="10" fontId="27" fillId="35" borderId="12" xfId="0" applyNumberFormat="1" applyFont="1" applyFill="1" applyBorder="1" applyAlignment="1" applyProtection="1">
      <alignment horizontal="center" vertical="center" wrapText="1"/>
      <protection locked="0" hidden="1"/>
    </xf>
    <xf numFmtId="191" fontId="27" fillId="35" borderId="12" xfId="0" applyFont="1" applyFill="1" applyBorder="1" applyAlignment="1" applyProtection="1">
      <alignment horizontal="center" vertical="center" wrapText="1"/>
      <protection locked="0" hidden="1"/>
    </xf>
    <xf numFmtId="191" fontId="27" fillId="35" borderId="12" xfId="0" applyNumberFormat="1" applyFont="1" applyFill="1" applyBorder="1" applyAlignment="1" applyProtection="1">
      <alignment horizontal="center" vertical="center" wrapText="1"/>
      <protection locked="0" hidden="1"/>
    </xf>
    <xf numFmtId="1" fontId="27" fillId="35" borderId="12" xfId="0" applyNumberFormat="1" applyFont="1" applyFill="1" applyBorder="1" applyAlignment="1" applyProtection="1">
      <alignment horizontal="center" vertical="center" wrapText="1"/>
      <protection locked="0" hidden="1"/>
    </xf>
    <xf numFmtId="191" fontId="37" fillId="7" borderId="12" xfId="0" applyFont="1" applyFill="1" applyBorder="1" applyAlignment="1" applyProtection="1">
      <alignment horizontal="center" vertical="center" wrapText="1" readingOrder="1"/>
      <protection locked="0" hidden="1"/>
    </xf>
    <xf numFmtId="191" fontId="37" fillId="7" borderId="12" xfId="0" applyFont="1" applyFill="1" applyBorder="1" applyAlignment="1" applyProtection="1">
      <alignment horizontal="center" vertical="center" wrapText="1"/>
      <protection locked="0" hidden="1"/>
    </xf>
    <xf numFmtId="9" fontId="37" fillId="7" borderId="12" xfId="1" applyFont="1" applyFill="1" applyBorder="1" applyAlignment="1" applyProtection="1">
      <alignment horizontal="center" vertical="center" wrapText="1" readingOrder="1"/>
      <protection locked="0" hidden="1"/>
    </xf>
    <xf numFmtId="166" fontId="4" fillId="29" borderId="0" xfId="28" applyFont="1" applyFill="1" applyBorder="1" applyAlignment="1">
      <alignment horizontal="center" wrapText="1"/>
    </xf>
    <xf numFmtId="166" fontId="4" fillId="29" borderId="0" xfId="28" applyFont="1" applyFill="1" applyBorder="1"/>
    <xf numFmtId="166" fontId="4" fillId="29" borderId="10" xfId="28" applyFont="1" applyFill="1" applyBorder="1"/>
    <xf numFmtId="166" fontId="27" fillId="35" borderId="12" xfId="28" applyFont="1" applyFill="1" applyBorder="1" applyAlignment="1" applyProtection="1">
      <alignment horizontal="center" vertical="center" wrapText="1"/>
      <protection locked="0" hidden="1"/>
    </xf>
    <xf numFmtId="188" fontId="4" fillId="29" borderId="25" xfId="29" applyNumberFormat="1" applyFont="1" applyFill="1" applyBorder="1"/>
    <xf numFmtId="188" fontId="4" fillId="29" borderId="25" xfId="0" applyNumberFormat="1" applyFont="1" applyFill="1" applyBorder="1"/>
    <xf numFmtId="182" fontId="4" fillId="29" borderId="0" xfId="28" applyNumberFormat="1" applyFont="1" applyFill="1" applyBorder="1" applyAlignment="1">
      <alignment horizontal="center" wrapText="1"/>
    </xf>
    <xf numFmtId="191" fontId="16" fillId="2" borderId="0" xfId="0" applyFont="1" applyFill="1" applyBorder="1" applyAlignment="1" applyProtection="1">
      <alignment horizontal="center" vertical="center" wrapText="1"/>
      <protection hidden="1"/>
    </xf>
    <xf numFmtId="191" fontId="39" fillId="2" borderId="0" xfId="0" applyFont="1" applyFill="1" applyBorder="1" applyAlignment="1" applyProtection="1">
      <alignment horizontal="center" vertical="center" wrapText="1" readingOrder="1"/>
      <protection locked="0" hidden="1"/>
    </xf>
    <xf numFmtId="191" fontId="41" fillId="27" borderId="12" xfId="0" applyFont="1" applyFill="1" applyBorder="1" applyAlignment="1" applyProtection="1">
      <alignment horizontal="center" vertical="center" wrapText="1"/>
      <protection hidden="1"/>
    </xf>
    <xf numFmtId="191" fontId="3" fillId="23" borderId="0" xfId="34" applyFont="1" applyFill="1" applyBorder="1"/>
    <xf numFmtId="10" fontId="4" fillId="23" borderId="0" xfId="1" applyNumberFormat="1" applyFont="1" applyFill="1"/>
    <xf numFmtId="191" fontId="40" fillId="2" borderId="18" xfId="0" applyFont="1" applyFill="1" applyBorder="1" applyAlignment="1" applyProtection="1">
      <alignment vertical="center" wrapText="1"/>
      <protection locked="0" hidden="1"/>
    </xf>
    <xf numFmtId="10" fontId="4" fillId="29" borderId="29" xfId="0" applyNumberFormat="1" applyFont="1" applyFill="1" applyBorder="1"/>
    <xf numFmtId="191" fontId="4" fillId="29" borderId="24" xfId="0" applyFont="1" applyFill="1" applyBorder="1"/>
    <xf numFmtId="191" fontId="15" fillId="31" borderId="0" xfId="0" applyFont="1" applyFill="1"/>
    <xf numFmtId="191" fontId="15" fillId="29" borderId="57" xfId="0" applyFont="1" applyFill="1" applyBorder="1"/>
    <xf numFmtId="191" fontId="15" fillId="29" borderId="51" xfId="0" applyFont="1" applyFill="1" applyBorder="1"/>
    <xf numFmtId="166" fontId="15" fillId="29" borderId="52" xfId="28" applyFont="1" applyFill="1" applyBorder="1"/>
    <xf numFmtId="191" fontId="4" fillId="29" borderId="0" xfId="0" applyFont="1" applyFill="1" applyAlignment="1">
      <alignment horizontal="right"/>
    </xf>
    <xf numFmtId="166" fontId="15" fillId="29" borderId="47" xfId="28" applyFont="1" applyFill="1" applyBorder="1"/>
    <xf numFmtId="1" fontId="4" fillId="29" borderId="25" xfId="0" applyNumberFormat="1" applyFont="1" applyFill="1" applyBorder="1"/>
    <xf numFmtId="166" fontId="4" fillId="29" borderId="25" xfId="0" applyNumberFormat="1" applyFont="1" applyFill="1" applyBorder="1"/>
    <xf numFmtId="191" fontId="4" fillId="29" borderId="23" xfId="0" applyFont="1" applyFill="1" applyBorder="1"/>
    <xf numFmtId="2" fontId="4" fillId="29" borderId="25" xfId="0" applyNumberFormat="1" applyFont="1" applyFill="1" applyBorder="1"/>
    <xf numFmtId="191" fontId="4" fillId="26" borderId="21" xfId="0" applyFont="1" applyFill="1" applyBorder="1"/>
    <xf numFmtId="191" fontId="4" fillId="26" borderId="23" xfId="0" applyFont="1" applyFill="1" applyBorder="1"/>
    <xf numFmtId="191" fontId="4" fillId="26" borderId="25" xfId="0" applyFont="1" applyFill="1" applyBorder="1"/>
    <xf numFmtId="191" fontId="4" fillId="26" borderId="29" xfId="0" applyFont="1" applyFill="1" applyBorder="1"/>
    <xf numFmtId="178" fontId="15" fillId="29" borderId="25" xfId="0" applyNumberFormat="1" applyFont="1" applyFill="1" applyBorder="1"/>
    <xf numFmtId="178" fontId="15" fillId="29" borderId="29" xfId="0" applyNumberFormat="1" applyFont="1" applyFill="1" applyBorder="1"/>
    <xf numFmtId="1" fontId="15" fillId="29" borderId="0" xfId="0" applyNumberFormat="1" applyFont="1" applyFill="1" applyBorder="1"/>
    <xf numFmtId="191" fontId="4" fillId="29" borderId="0" xfId="0" applyFont="1" applyFill="1"/>
    <xf numFmtId="191" fontId="15" fillId="5" borderId="26" xfId="0" applyNumberFormat="1" applyFont="1" applyFill="1" applyBorder="1" applyProtection="1">
      <protection hidden="1"/>
    </xf>
    <xf numFmtId="191" fontId="15" fillId="5" borderId="26" xfId="0" applyFont="1" applyFill="1" applyBorder="1"/>
    <xf numFmtId="191" fontId="15" fillId="5" borderId="37" xfId="0" applyFont="1" applyFill="1" applyBorder="1"/>
    <xf numFmtId="191" fontId="15" fillId="5" borderId="30" xfId="0" applyFont="1" applyFill="1" applyBorder="1"/>
    <xf numFmtId="191" fontId="15" fillId="29" borderId="21" xfId="0" applyFont="1" applyFill="1" applyBorder="1"/>
    <xf numFmtId="191" fontId="15" fillId="29" borderId="28" xfId="0" applyFont="1" applyFill="1" applyBorder="1"/>
    <xf numFmtId="1" fontId="15" fillId="29" borderId="22" xfId="0" applyNumberFormat="1" applyFont="1" applyFill="1" applyBorder="1"/>
    <xf numFmtId="178" fontId="15" fillId="29" borderId="23" xfId="0" applyNumberFormat="1" applyFont="1" applyFill="1" applyBorder="1"/>
    <xf numFmtId="42" fontId="15" fillId="29" borderId="21" xfId="0" applyNumberFormat="1" applyFont="1" applyFill="1" applyBorder="1"/>
    <xf numFmtId="42" fontId="15" fillId="29" borderId="22" xfId="0" applyNumberFormat="1" applyFont="1" applyFill="1" applyBorder="1"/>
    <xf numFmtId="42" fontId="15" fillId="29" borderId="23" xfId="0" applyNumberFormat="1" applyFont="1" applyFill="1" applyBorder="1"/>
    <xf numFmtId="42" fontId="15" fillId="29" borderId="24" xfId="0" applyNumberFormat="1" applyFont="1" applyFill="1" applyBorder="1"/>
    <xf numFmtId="42" fontId="15" fillId="29" borderId="0" xfId="0" applyNumberFormat="1" applyFont="1" applyFill="1" applyBorder="1"/>
    <xf numFmtId="42" fontId="15" fillId="29" borderId="25" xfId="0" applyNumberFormat="1" applyFont="1" applyFill="1" applyBorder="1"/>
    <xf numFmtId="42" fontId="15" fillId="29" borderId="28" xfId="0" applyNumberFormat="1" applyFont="1" applyFill="1" applyBorder="1"/>
    <xf numFmtId="42" fontId="15" fillId="29" borderId="11" xfId="0" applyNumberFormat="1" applyFont="1" applyFill="1" applyBorder="1"/>
    <xf numFmtId="42" fontId="15" fillId="29" borderId="29" xfId="0" applyNumberFormat="1" applyFont="1" applyFill="1" applyBorder="1"/>
    <xf numFmtId="182" fontId="15" fillId="29" borderId="23" xfId="28" applyNumberFormat="1" applyFont="1" applyFill="1" applyBorder="1"/>
    <xf numFmtId="182" fontId="15" fillId="29" borderId="25" xfId="28" applyNumberFormat="1" applyFont="1" applyFill="1" applyBorder="1"/>
    <xf numFmtId="182" fontId="15" fillId="29" borderId="29" xfId="28" applyNumberFormat="1" applyFont="1" applyFill="1" applyBorder="1"/>
    <xf numFmtId="42" fontId="15" fillId="11" borderId="37" xfId="0" applyNumberFormat="1" applyFont="1" applyFill="1" applyBorder="1"/>
    <xf numFmtId="42" fontId="15" fillId="11" borderId="30" xfId="0" applyNumberFormat="1" applyFont="1" applyFill="1" applyBorder="1"/>
    <xf numFmtId="42" fontId="15" fillId="5" borderId="26" xfId="0" applyNumberFormat="1" applyFont="1" applyFill="1" applyBorder="1"/>
    <xf numFmtId="42" fontId="15" fillId="5" borderId="37" xfId="0" applyNumberFormat="1" applyFont="1" applyFill="1" applyBorder="1"/>
    <xf numFmtId="42" fontId="15" fillId="5" borderId="30" xfId="0" applyNumberFormat="1" applyFont="1" applyFill="1" applyBorder="1"/>
    <xf numFmtId="42" fontId="15" fillId="11" borderId="11" xfId="0" applyNumberFormat="1" applyFont="1" applyFill="1" applyBorder="1"/>
    <xf numFmtId="42" fontId="15" fillId="11" borderId="29" xfId="0" applyNumberFormat="1" applyFont="1" applyFill="1" applyBorder="1"/>
    <xf numFmtId="191" fontId="15" fillId="16" borderId="69" xfId="0" applyFont="1" applyFill="1" applyBorder="1"/>
    <xf numFmtId="191" fontId="15" fillId="5" borderId="69" xfId="0" applyFont="1" applyFill="1" applyBorder="1"/>
    <xf numFmtId="167" fontId="10" fillId="29" borderId="0" xfId="0" applyNumberFormat="1" applyFont="1" applyFill="1"/>
    <xf numFmtId="42" fontId="15" fillId="29" borderId="69" xfId="29" applyNumberFormat="1" applyFont="1" applyFill="1" applyBorder="1"/>
    <xf numFmtId="42" fontId="15" fillId="29" borderId="69" xfId="0" applyNumberFormat="1" applyFont="1" applyFill="1" applyBorder="1"/>
    <xf numFmtId="167" fontId="15" fillId="29" borderId="0" xfId="0" applyNumberFormat="1" applyFont="1" applyFill="1"/>
    <xf numFmtId="191" fontId="4" fillId="37" borderId="24" xfId="0" applyFont="1" applyFill="1" applyBorder="1"/>
    <xf numFmtId="191" fontId="2" fillId="17" borderId="36" xfId="26" applyFont="1" applyFill="1" applyBorder="1" applyAlignment="1">
      <alignment vertical="center" wrapText="1"/>
    </xf>
    <xf numFmtId="191" fontId="4" fillId="29" borderId="0" xfId="0" applyFont="1" applyFill="1"/>
    <xf numFmtId="191" fontId="8" fillId="0" borderId="0" xfId="0" applyFont="1" applyAlignment="1">
      <alignment horizontal="center" vertical="center" wrapText="1"/>
    </xf>
    <xf numFmtId="191" fontId="0" fillId="10" borderId="0" xfId="0" applyFill="1" applyAlignment="1">
      <alignment horizontal="center" vertical="center"/>
    </xf>
    <xf numFmtId="191" fontId="8" fillId="0" borderId="0" xfId="0" applyFont="1" applyAlignment="1">
      <alignment horizontal="center" vertical="center"/>
    </xf>
    <xf numFmtId="191" fontId="0" fillId="0" borderId="0" xfId="0" applyAlignment="1">
      <alignment horizontal="center" vertical="center"/>
    </xf>
    <xf numFmtId="191" fontId="0" fillId="7" borderId="0" xfId="0" applyFill="1" applyAlignment="1">
      <alignment horizontal="center" vertical="center"/>
    </xf>
    <xf numFmtId="191" fontId="0" fillId="9" borderId="0" xfId="0" applyFill="1" applyAlignment="1">
      <alignment horizontal="center" vertical="center"/>
    </xf>
    <xf numFmtId="191" fontId="0" fillId="12" borderId="0" xfId="0" applyFill="1" applyAlignment="1">
      <alignment horizontal="center" vertical="center"/>
    </xf>
    <xf numFmtId="191" fontId="0" fillId="0" borderId="0" xfId="0" applyAlignment="1">
      <alignment horizontal="center" vertical="center" wrapText="1"/>
    </xf>
    <xf numFmtId="191" fontId="0" fillId="14" borderId="0" xfId="0" applyFill="1" applyAlignment="1">
      <alignment horizontal="center" vertical="center"/>
    </xf>
    <xf numFmtId="191" fontId="0" fillId="24" borderId="0" xfId="0" applyFill="1" applyAlignment="1">
      <alignment horizontal="center" vertical="center"/>
    </xf>
    <xf numFmtId="191" fontId="0" fillId="17" borderId="0" xfId="0" applyFill="1" applyAlignment="1">
      <alignment horizontal="center" vertical="center"/>
    </xf>
    <xf numFmtId="191" fontId="5" fillId="26" borderId="0" xfId="0" applyFont="1" applyFill="1" applyAlignment="1">
      <alignment horizontal="center" vertical="center"/>
    </xf>
    <xf numFmtId="191" fontId="4" fillId="11" borderId="0" xfId="0" applyFont="1" applyFill="1" applyAlignment="1">
      <alignment horizontal="center" vertical="center" wrapText="1"/>
    </xf>
    <xf numFmtId="166" fontId="0" fillId="0" borderId="0" xfId="28" applyFont="1" applyAlignment="1">
      <alignment horizontal="center" vertical="center"/>
    </xf>
    <xf numFmtId="191" fontId="4" fillId="13" borderId="0" xfId="0" applyFont="1" applyFill="1" applyAlignment="1">
      <alignment horizontal="center" vertical="center"/>
    </xf>
    <xf numFmtId="191" fontId="0" fillId="25" borderId="0" xfId="0" applyFill="1" applyAlignment="1">
      <alignment horizontal="center" vertical="center"/>
    </xf>
    <xf numFmtId="10" fontId="0" fillId="0" borderId="0" xfId="0" applyNumberFormat="1" applyAlignment="1">
      <alignment horizontal="center" vertical="center"/>
    </xf>
    <xf numFmtId="191" fontId="38" fillId="2" borderId="0" xfId="0" applyFont="1" applyFill="1" applyBorder="1" applyAlignment="1" applyProtection="1">
      <alignment horizontal="center" vertical="center" wrapText="1"/>
      <protection locked="0" hidden="1"/>
    </xf>
    <xf numFmtId="191" fontId="48" fillId="2" borderId="0" xfId="0" applyFont="1" applyFill="1" applyBorder="1" applyAlignment="1" applyProtection="1">
      <protection hidden="1"/>
    </xf>
    <xf numFmtId="191" fontId="2" fillId="41" borderId="23" xfId="0" applyFont="1" applyFill="1" applyBorder="1"/>
    <xf numFmtId="191" fontId="28" fillId="29" borderId="0" xfId="35" applyFont="1" applyFill="1"/>
    <xf numFmtId="191" fontId="22" fillId="14" borderId="21" xfId="4" applyFont="1" applyFill="1" applyBorder="1" applyAlignment="1"/>
    <xf numFmtId="191" fontId="22" fillId="17" borderId="35" xfId="4" applyFont="1" applyFill="1" applyBorder="1" applyAlignment="1"/>
    <xf numFmtId="10" fontId="52" fillId="29" borderId="25" xfId="27" applyNumberFormat="1" applyFont="1" applyFill="1" applyBorder="1"/>
    <xf numFmtId="191" fontId="53" fillId="29" borderId="0" xfId="0" applyFont="1" applyFill="1"/>
    <xf numFmtId="191" fontId="53" fillId="29" borderId="0" xfId="0" applyFont="1" applyFill="1" applyAlignment="1">
      <alignment horizontal="right"/>
    </xf>
    <xf numFmtId="191" fontId="32" fillId="6" borderId="21" xfId="0" applyFont="1" applyFill="1" applyBorder="1"/>
    <xf numFmtId="191" fontId="2" fillId="6" borderId="23" xfId="0" applyFont="1" applyFill="1" applyBorder="1"/>
    <xf numFmtId="191" fontId="2" fillId="6" borderId="29" xfId="0" applyFont="1" applyFill="1" applyBorder="1"/>
    <xf numFmtId="191" fontId="2" fillId="6" borderId="22" xfId="0" applyFont="1" applyFill="1" applyBorder="1" applyAlignment="1">
      <alignment horizontal="center"/>
    </xf>
    <xf numFmtId="190" fontId="2" fillId="6" borderId="11" xfId="29" applyNumberFormat="1" applyFont="1" applyFill="1" applyBorder="1" applyAlignment="1">
      <alignment horizontal="center"/>
    </xf>
    <xf numFmtId="191" fontId="32" fillId="41" borderId="21" xfId="0" applyFont="1" applyFill="1" applyBorder="1"/>
    <xf numFmtId="191" fontId="0" fillId="41" borderId="22" xfId="0" applyFont="1" applyFill="1" applyBorder="1"/>
    <xf numFmtId="191" fontId="22" fillId="41" borderId="28" xfId="4" applyFont="1" applyFill="1" applyBorder="1" applyAlignment="1"/>
    <xf numFmtId="3" fontId="2" fillId="41" borderId="11" xfId="0" applyNumberFormat="1" applyFont="1" applyFill="1" applyBorder="1" applyAlignment="1">
      <alignment horizontal="center"/>
    </xf>
    <xf numFmtId="191" fontId="2" fillId="41" borderId="29" xfId="0" applyFont="1" applyFill="1" applyBorder="1"/>
    <xf numFmtId="191" fontId="15" fillId="29" borderId="58" xfId="0" applyFont="1" applyFill="1" applyBorder="1" applyAlignment="1">
      <alignment horizontal="center"/>
    </xf>
    <xf numFmtId="166" fontId="15" fillId="29" borderId="58" xfId="28" applyFont="1" applyFill="1" applyBorder="1" applyAlignment="1">
      <alignment horizontal="center"/>
    </xf>
    <xf numFmtId="166" fontId="15" fillId="29" borderId="59" xfId="28" applyFont="1" applyFill="1" applyBorder="1" applyAlignment="1">
      <alignment horizontal="center"/>
    </xf>
    <xf numFmtId="166" fontId="15" fillId="29" borderId="60" xfId="28" applyFont="1" applyFill="1" applyBorder="1" applyAlignment="1">
      <alignment horizontal="center"/>
    </xf>
    <xf numFmtId="44" fontId="15" fillId="29" borderId="60" xfId="28" applyNumberFormat="1" applyFont="1" applyFill="1" applyBorder="1" applyAlignment="1">
      <alignment horizontal="center"/>
    </xf>
    <xf numFmtId="44" fontId="15" fillId="11" borderId="30" xfId="28" applyNumberFormat="1" applyFont="1" applyFill="1" applyBorder="1" applyAlignment="1">
      <alignment horizontal="center"/>
    </xf>
    <xf numFmtId="191" fontId="5" fillId="14" borderId="1" xfId="0" applyFont="1" applyFill="1" applyBorder="1" applyAlignment="1">
      <alignment horizontal="left"/>
    </xf>
    <xf numFmtId="1" fontId="55" fillId="14" borderId="1" xfId="0" applyNumberFormat="1" applyFont="1" applyFill="1" applyBorder="1"/>
    <xf numFmtId="191" fontId="4" fillId="27" borderId="0" xfId="0" applyFont="1" applyFill="1" applyAlignment="1">
      <alignment horizontal="center" vertical="center"/>
    </xf>
    <xf numFmtId="191" fontId="4" fillId="15" borderId="0" xfId="0" applyFont="1" applyFill="1" applyAlignment="1">
      <alignment horizontal="center" vertical="center"/>
    </xf>
    <xf numFmtId="10" fontId="4" fillId="29" borderId="0" xfId="1" applyNumberFormat="1" applyFont="1" applyFill="1"/>
    <xf numFmtId="190" fontId="0" fillId="0" borderId="0" xfId="29" applyNumberFormat="1" applyFont="1" applyAlignment="1">
      <alignment horizontal="center" vertical="center"/>
    </xf>
    <xf numFmtId="183" fontId="4" fillId="29" borderId="0" xfId="29" applyNumberFormat="1" applyFont="1" applyFill="1" applyBorder="1"/>
    <xf numFmtId="191" fontId="4" fillId="29" borderId="22" xfId="0" applyFont="1" applyFill="1" applyBorder="1"/>
    <xf numFmtId="191" fontId="51" fillId="6" borderId="30" xfId="4" applyFont="1" applyFill="1" applyBorder="1">
      <alignment horizontal="center"/>
    </xf>
    <xf numFmtId="191" fontId="2" fillId="6" borderId="24" xfId="26" applyFont="1" applyFill="1" applyBorder="1"/>
    <xf numFmtId="191" fontId="31" fillId="6" borderId="0" xfId="4" applyFont="1" applyFill="1" applyBorder="1" applyAlignment="1">
      <alignment horizontal="center" wrapText="1"/>
    </xf>
    <xf numFmtId="191" fontId="31" fillId="6" borderId="25" xfId="4" applyFont="1" applyFill="1" applyBorder="1">
      <alignment horizontal="center"/>
    </xf>
    <xf numFmtId="191" fontId="2" fillId="6" borderId="26" xfId="26" applyFont="1" applyFill="1" applyBorder="1"/>
    <xf numFmtId="191" fontId="31" fillId="6" borderId="37" xfId="4" applyFont="1" applyFill="1" applyBorder="1" applyAlignment="1">
      <alignment horizontal="center" wrapText="1"/>
    </xf>
    <xf numFmtId="191" fontId="31" fillId="6" borderId="30" xfId="4" applyFont="1" applyFill="1" applyBorder="1">
      <alignment horizontal="center"/>
    </xf>
    <xf numFmtId="191" fontId="51" fillId="41" borderId="30" xfId="4" applyFont="1" applyFill="1" applyBorder="1">
      <alignment horizontal="center"/>
    </xf>
    <xf numFmtId="191" fontId="2" fillId="41" borderId="24" xfId="26" applyFont="1" applyFill="1" applyBorder="1"/>
    <xf numFmtId="191" fontId="31" fillId="41" borderId="0" xfId="4" applyFont="1" applyFill="1" applyBorder="1" applyAlignment="1">
      <alignment horizontal="center" wrapText="1"/>
    </xf>
    <xf numFmtId="191" fontId="31" fillId="41" borderId="25" xfId="4" applyFont="1" applyFill="1" applyBorder="1">
      <alignment horizontal="center"/>
    </xf>
    <xf numFmtId="191" fontId="2" fillId="41" borderId="26" xfId="26" applyFont="1" applyFill="1" applyBorder="1"/>
    <xf numFmtId="191" fontId="31" fillId="41" borderId="37" xfId="4" applyFont="1" applyFill="1" applyBorder="1" applyAlignment="1">
      <alignment horizontal="center" wrapText="1"/>
    </xf>
    <xf numFmtId="191" fontId="31" fillId="41" borderId="30" xfId="4" applyFont="1" applyFill="1" applyBorder="1">
      <alignment horizontal="center"/>
    </xf>
    <xf numFmtId="191" fontId="10" fillId="2" borderId="0" xfId="0" applyFont="1" applyFill="1" applyBorder="1" applyAlignment="1" applyProtection="1">
      <alignment vertical="center" wrapText="1"/>
      <protection locked="0" hidden="1"/>
    </xf>
    <xf numFmtId="166" fontId="49" fillId="7" borderId="12" xfId="28" applyFont="1" applyFill="1" applyBorder="1" applyAlignment="1" applyProtection="1">
      <alignment horizontal="center" vertical="center" wrapText="1" readingOrder="1"/>
      <protection locked="0" hidden="1"/>
    </xf>
    <xf numFmtId="190" fontId="37" fillId="7" borderId="12" xfId="29" applyNumberFormat="1" applyFont="1" applyFill="1" applyBorder="1" applyAlignment="1" applyProtection="1">
      <alignment horizontal="center" vertical="center" wrapText="1" readingOrder="1"/>
      <protection locked="0" hidden="1"/>
    </xf>
    <xf numFmtId="191" fontId="41" fillId="27" borderId="12" xfId="0" applyFont="1" applyFill="1" applyBorder="1" applyAlignment="1" applyProtection="1">
      <alignment horizontal="center" vertical="center" wrapText="1" readingOrder="1"/>
      <protection locked="0" hidden="1"/>
    </xf>
    <xf numFmtId="10" fontId="4" fillId="29" borderId="0" xfId="0" applyNumberFormat="1" applyFont="1" applyFill="1" applyBorder="1"/>
    <xf numFmtId="9" fontId="4" fillId="29" borderId="25" xfId="1" applyFont="1" applyFill="1" applyBorder="1" applyAlignment="1">
      <alignment horizontal="right"/>
    </xf>
    <xf numFmtId="191" fontId="57" fillId="29" borderId="0" xfId="0" applyFont="1" applyFill="1"/>
    <xf numFmtId="191" fontId="5" fillId="44" borderId="24" xfId="0" applyFont="1" applyFill="1" applyBorder="1"/>
    <xf numFmtId="191" fontId="12" fillId="29" borderId="57" xfId="0" applyFont="1" applyFill="1" applyBorder="1"/>
    <xf numFmtId="191" fontId="10" fillId="6" borderId="57" xfId="0" applyFont="1" applyFill="1" applyBorder="1" applyAlignment="1">
      <alignment horizontal="center" vertical="center" wrapText="1"/>
    </xf>
    <xf numFmtId="191" fontId="10" fillId="6" borderId="58" xfId="0" applyFont="1" applyFill="1" applyBorder="1" applyAlignment="1">
      <alignment horizontal="center" vertical="center" wrapText="1"/>
    </xf>
    <xf numFmtId="191" fontId="10" fillId="6" borderId="60" xfId="0" applyFont="1" applyFill="1" applyBorder="1" applyAlignment="1">
      <alignment horizontal="center" vertical="center" wrapText="1"/>
    </xf>
    <xf numFmtId="191" fontId="10" fillId="6" borderId="62" xfId="0" applyFont="1" applyFill="1" applyBorder="1" applyAlignment="1">
      <alignment horizontal="center" vertical="center" wrapText="1"/>
    </xf>
    <xf numFmtId="191" fontId="10" fillId="6" borderId="63" xfId="0" applyFont="1" applyFill="1" applyBorder="1" applyAlignment="1">
      <alignment horizontal="center" vertical="center" wrapText="1"/>
    </xf>
    <xf numFmtId="191" fontId="44" fillId="45" borderId="55" xfId="0" applyFont="1" applyFill="1" applyBorder="1"/>
    <xf numFmtId="1" fontId="44" fillId="45" borderId="1" xfId="0" applyNumberFormat="1" applyFont="1" applyFill="1" applyBorder="1" applyAlignment="1">
      <alignment horizontal="center"/>
    </xf>
    <xf numFmtId="166" fontId="44" fillId="45" borderId="4" xfId="28" applyFont="1" applyFill="1" applyBorder="1" applyAlignment="1">
      <alignment horizontal="center"/>
    </xf>
    <xf numFmtId="166" fontId="44" fillId="45" borderId="56" xfId="28" applyFont="1" applyFill="1" applyBorder="1" applyAlignment="1">
      <alignment horizontal="center"/>
    </xf>
    <xf numFmtId="191" fontId="44" fillId="45" borderId="1" xfId="28" applyNumberFormat="1" applyFont="1" applyFill="1" applyBorder="1" applyAlignment="1">
      <alignment horizontal="center"/>
    </xf>
    <xf numFmtId="182" fontId="44" fillId="45" borderId="1" xfId="28" applyNumberFormat="1" applyFont="1" applyFill="1" applyBorder="1" applyAlignment="1">
      <alignment horizontal="center"/>
    </xf>
    <xf numFmtId="191" fontId="44" fillId="45" borderId="4" xfId="28" applyNumberFormat="1" applyFont="1" applyFill="1" applyBorder="1" applyAlignment="1">
      <alignment horizontal="center"/>
    </xf>
    <xf numFmtId="191" fontId="44" fillId="45" borderId="56" xfId="28" applyNumberFormat="1" applyFont="1" applyFill="1" applyBorder="1" applyAlignment="1">
      <alignment horizontal="center"/>
    </xf>
    <xf numFmtId="1" fontId="15" fillId="29" borderId="58" xfId="0" applyNumberFormat="1" applyFont="1" applyFill="1" applyBorder="1" applyAlignment="1">
      <alignment horizontal="center"/>
    </xf>
    <xf numFmtId="1" fontId="15" fillId="11" borderId="37" xfId="0" applyNumberFormat="1" applyFont="1" applyFill="1" applyBorder="1" applyAlignment="1">
      <alignment horizontal="center"/>
    </xf>
    <xf numFmtId="191" fontId="44" fillId="45" borderId="1" xfId="0" applyNumberFormat="1" applyFont="1" applyFill="1" applyBorder="1" applyAlignment="1">
      <alignment horizontal="center"/>
    </xf>
    <xf numFmtId="2" fontId="4" fillId="5" borderId="23" xfId="0" applyNumberFormat="1" applyFont="1" applyFill="1" applyBorder="1"/>
    <xf numFmtId="2" fontId="4" fillId="29" borderId="23" xfId="0" applyNumberFormat="1" applyFont="1" applyFill="1" applyBorder="1"/>
    <xf numFmtId="2" fontId="4" fillId="37" borderId="25" xfId="29" applyNumberFormat="1" applyFont="1" applyFill="1" applyBorder="1"/>
    <xf numFmtId="2" fontId="4" fillId="29" borderId="25" xfId="29" applyNumberFormat="1" applyFont="1" applyFill="1" applyBorder="1"/>
    <xf numFmtId="2" fontId="31" fillId="41" borderId="0" xfId="4" applyNumberFormat="1" applyFont="1" applyFill="1" applyBorder="1" applyAlignment="1">
      <alignment horizontal="center" wrapText="1"/>
    </xf>
    <xf numFmtId="2" fontId="31" fillId="41" borderId="25" xfId="4" applyNumberFormat="1" applyFont="1" applyFill="1" applyBorder="1">
      <alignment horizontal="center"/>
    </xf>
    <xf numFmtId="2" fontId="31" fillId="6" borderId="0" xfId="4" applyNumberFormat="1" applyFont="1" applyFill="1" applyBorder="1" applyAlignment="1">
      <alignment horizontal="center" wrapText="1"/>
    </xf>
    <xf numFmtId="2" fontId="31" fillId="6" borderId="25" xfId="4" applyNumberFormat="1" applyFont="1" applyFill="1" applyBorder="1">
      <alignment horizontal="center"/>
    </xf>
    <xf numFmtId="0" fontId="47" fillId="29" borderId="0" xfId="0" applyNumberFormat="1" applyFont="1" applyFill="1" applyBorder="1"/>
    <xf numFmtId="0" fontId="47" fillId="29" borderId="0" xfId="0" applyNumberFormat="1" applyFont="1" applyFill="1"/>
    <xf numFmtId="0" fontId="45" fillId="43" borderId="26" xfId="0" applyNumberFormat="1" applyFont="1" applyFill="1" applyBorder="1"/>
    <xf numFmtId="0" fontId="47" fillId="43" borderId="37" xfId="0" applyNumberFormat="1" applyFont="1" applyFill="1" applyBorder="1"/>
    <xf numFmtId="0" fontId="47" fillId="29" borderId="24" xfId="0" applyNumberFormat="1" applyFont="1" applyFill="1" applyBorder="1" applyAlignment="1">
      <alignment horizontal="left" indent="1"/>
    </xf>
    <xf numFmtId="0" fontId="47" fillId="29" borderId="0" xfId="0" applyNumberFormat="1" applyFont="1" applyFill="1" applyAlignment="1">
      <alignment horizontal="left"/>
    </xf>
    <xf numFmtId="0" fontId="47" fillId="29" borderId="28" xfId="0" applyNumberFormat="1" applyFont="1" applyFill="1" applyBorder="1" applyAlignment="1">
      <alignment horizontal="left" indent="1"/>
    </xf>
    <xf numFmtId="0" fontId="47" fillId="29" borderId="11" xfId="0" applyNumberFormat="1" applyFont="1" applyFill="1" applyBorder="1"/>
    <xf numFmtId="0" fontId="4" fillId="16" borderId="0" xfId="0" applyNumberFormat="1" applyFont="1" applyFill="1" applyAlignment="1">
      <alignment horizontal="left"/>
    </xf>
    <xf numFmtId="0" fontId="4" fillId="16" borderId="0" xfId="0" applyNumberFormat="1" applyFont="1" applyFill="1" applyAlignment="1">
      <alignment horizontal="right"/>
    </xf>
    <xf numFmtId="0" fontId="4" fillId="16" borderId="0" xfId="0" applyNumberFormat="1" applyFont="1" applyFill="1"/>
    <xf numFmtId="0" fontId="0" fillId="16" borderId="0" xfId="0" applyNumberFormat="1" applyFill="1"/>
    <xf numFmtId="0" fontId="4" fillId="29" borderId="0" xfId="0" applyNumberFormat="1" applyFont="1" applyFill="1" applyAlignment="1">
      <alignment horizontal="left"/>
    </xf>
    <xf numFmtId="0" fontId="4" fillId="29" borderId="0" xfId="0" applyNumberFormat="1" applyFont="1" applyFill="1" applyAlignment="1">
      <alignment horizontal="right"/>
    </xf>
    <xf numFmtId="0" fontId="4" fillId="29" borderId="0" xfId="0" applyNumberFormat="1" applyFont="1" applyFill="1"/>
    <xf numFmtId="0" fontId="0" fillId="29" borderId="0" xfId="0" applyNumberFormat="1" applyFill="1"/>
    <xf numFmtId="0" fontId="4" fillId="6" borderId="0" xfId="0" applyNumberFormat="1" applyFont="1" applyFill="1" applyAlignment="1">
      <alignment horizontal="left"/>
    </xf>
    <xf numFmtId="0" fontId="4" fillId="6" borderId="0" xfId="0" applyNumberFormat="1" applyFont="1" applyFill="1" applyAlignment="1">
      <alignment horizontal="right"/>
    </xf>
    <xf numFmtId="0" fontId="4" fillId="6" borderId="0" xfId="0" applyNumberFormat="1" applyFont="1" applyFill="1"/>
    <xf numFmtId="0" fontId="0" fillId="6" borderId="0" xfId="0" applyNumberFormat="1" applyFill="1"/>
    <xf numFmtId="0" fontId="0" fillId="29" borderId="0" xfId="0" applyNumberFormat="1" applyFill="1" applyAlignment="1">
      <alignment horizontal="right"/>
    </xf>
    <xf numFmtId="0" fontId="0" fillId="29" borderId="0" xfId="0" applyNumberFormat="1" applyFill="1" applyAlignment="1">
      <alignment horizontal="left"/>
    </xf>
    <xf numFmtId="2" fontId="10" fillId="45" borderId="1" xfId="29" applyNumberFormat="1" applyFont="1" applyFill="1" applyBorder="1" applyAlignment="1">
      <alignment horizontal="center"/>
    </xf>
    <xf numFmtId="2" fontId="10" fillId="38" borderId="1" xfId="29" applyNumberFormat="1" applyFont="1" applyFill="1" applyBorder="1" applyAlignment="1">
      <alignment horizontal="center"/>
    </xf>
    <xf numFmtId="44" fontId="10" fillId="45" borderId="1" xfId="29" applyNumberFormat="1" applyFont="1" applyFill="1" applyBorder="1" applyAlignment="1">
      <alignment horizontal="center"/>
    </xf>
    <xf numFmtId="190" fontId="0" fillId="0" borderId="0" xfId="0" applyNumberFormat="1" applyAlignment="1">
      <alignment horizontal="center" vertical="center"/>
    </xf>
    <xf numFmtId="191" fontId="44" fillId="45" borderId="6" xfId="28" applyNumberFormat="1" applyFont="1" applyFill="1" applyBorder="1" applyAlignment="1">
      <alignment horizontal="center"/>
    </xf>
    <xf numFmtId="191" fontId="44" fillId="45" borderId="65" xfId="0" applyFont="1" applyFill="1" applyBorder="1"/>
    <xf numFmtId="1" fontId="44" fillId="45" borderId="6" xfId="0" applyNumberFormat="1" applyFont="1" applyFill="1" applyBorder="1" applyAlignment="1">
      <alignment horizontal="center"/>
    </xf>
    <xf numFmtId="191" fontId="44" fillId="45" borderId="82" xfId="28" applyNumberFormat="1" applyFont="1" applyFill="1" applyBorder="1" applyAlignment="1">
      <alignment horizontal="center"/>
    </xf>
    <xf numFmtId="3" fontId="44" fillId="45" borderId="1" xfId="0" applyNumberFormat="1" applyFont="1" applyFill="1" applyBorder="1" applyAlignment="1">
      <alignment horizontal="center"/>
    </xf>
    <xf numFmtId="191" fontId="44" fillId="45" borderId="61" xfId="0" applyFont="1" applyFill="1" applyBorder="1"/>
    <xf numFmtId="1" fontId="44" fillId="45" borderId="62" xfId="0" applyNumberFormat="1" applyFont="1" applyFill="1" applyBorder="1" applyAlignment="1">
      <alignment horizontal="center"/>
    </xf>
    <xf numFmtId="191" fontId="44" fillId="45" borderId="62" xfId="28" applyNumberFormat="1" applyFont="1" applyFill="1" applyBorder="1" applyAlignment="1">
      <alignment horizontal="center"/>
    </xf>
    <xf numFmtId="191" fontId="44" fillId="41" borderId="57" xfId="0" applyFont="1" applyFill="1" applyBorder="1" applyAlignment="1">
      <alignment horizontal="center" vertical="center" wrapText="1"/>
    </xf>
    <xf numFmtId="191" fontId="44" fillId="41" borderId="58" xfId="0" applyFont="1" applyFill="1" applyBorder="1" applyAlignment="1">
      <alignment horizontal="center" vertical="center" wrapText="1"/>
    </xf>
    <xf numFmtId="191" fontId="44" fillId="41" borderId="60" xfId="0" applyFont="1" applyFill="1" applyBorder="1" applyAlignment="1">
      <alignment horizontal="center" vertical="center" wrapText="1"/>
    </xf>
    <xf numFmtId="3" fontId="15" fillId="11" borderId="37" xfId="0" applyNumberFormat="1" applyFont="1" applyFill="1" applyBorder="1" applyAlignment="1">
      <alignment horizontal="center"/>
    </xf>
    <xf numFmtId="191" fontId="44" fillId="46" borderId="55" xfId="0" applyFont="1" applyFill="1" applyBorder="1"/>
    <xf numFmtId="3" fontId="44" fillId="46" borderId="1" xfId="0" applyNumberFormat="1" applyFont="1" applyFill="1" applyBorder="1" applyAlignment="1">
      <alignment horizontal="center"/>
    </xf>
    <xf numFmtId="182" fontId="44" fillId="46" borderId="1" xfId="28" applyNumberFormat="1" applyFont="1" applyFill="1" applyBorder="1"/>
    <xf numFmtId="44" fontId="44" fillId="46" borderId="4" xfId="28" applyNumberFormat="1" applyFont="1" applyFill="1" applyBorder="1"/>
    <xf numFmtId="191" fontId="44" fillId="41" borderId="7" xfId="0" applyFont="1" applyFill="1" applyBorder="1" applyAlignment="1">
      <alignment horizontal="center" vertical="center" wrapText="1"/>
    </xf>
    <xf numFmtId="191" fontId="44" fillId="41" borderId="83" xfId="0" applyFont="1" applyFill="1" applyBorder="1" applyAlignment="1">
      <alignment horizontal="center" vertical="center" wrapText="1"/>
    </xf>
    <xf numFmtId="3" fontId="15" fillId="29" borderId="47" xfId="0" applyNumberFormat="1" applyFont="1" applyFill="1" applyBorder="1" applyAlignment="1">
      <alignment horizontal="center"/>
    </xf>
    <xf numFmtId="166" fontId="15" fillId="29" borderId="78" xfId="28" applyFont="1" applyFill="1" applyBorder="1"/>
    <xf numFmtId="191" fontId="15" fillId="29" borderId="52" xfId="28" applyNumberFormat="1" applyFont="1" applyFill="1" applyBorder="1"/>
    <xf numFmtId="191" fontId="15" fillId="29" borderId="47" xfId="0" applyFont="1" applyFill="1" applyBorder="1" applyAlignment="1">
      <alignment horizontal="center"/>
    </xf>
    <xf numFmtId="191" fontId="44" fillId="46" borderId="65" xfId="0" applyFont="1" applyFill="1" applyBorder="1"/>
    <xf numFmtId="3" fontId="44" fillId="46" borderId="6" xfId="0" applyNumberFormat="1" applyFont="1" applyFill="1" applyBorder="1" applyAlignment="1">
      <alignment horizontal="center"/>
    </xf>
    <xf numFmtId="182" fontId="44" fillId="46" borderId="6" xfId="28" applyNumberFormat="1" applyFont="1" applyFill="1" applyBorder="1"/>
    <xf numFmtId="44" fontId="44" fillId="46" borderId="82" xfId="28" applyNumberFormat="1" applyFont="1" applyFill="1" applyBorder="1"/>
    <xf numFmtId="191" fontId="44" fillId="46" borderId="66" xfId="28" applyNumberFormat="1" applyFont="1" applyFill="1" applyBorder="1"/>
    <xf numFmtId="191" fontId="10" fillId="46" borderId="65" xfId="0" applyFont="1" applyFill="1" applyBorder="1"/>
    <xf numFmtId="3" fontId="10" fillId="46" borderId="6" xfId="0" applyNumberFormat="1" applyFont="1" applyFill="1" applyBorder="1" applyAlignment="1">
      <alignment horizontal="center"/>
    </xf>
    <xf numFmtId="192" fontId="10" fillId="46" borderId="6" xfId="0" applyNumberFormat="1" applyFont="1" applyFill="1" applyBorder="1" applyAlignment="1">
      <alignment horizontal="center"/>
    </xf>
    <xf numFmtId="44" fontId="10" fillId="46" borderId="82" xfId="28" applyNumberFormat="1" applyFont="1" applyFill="1" applyBorder="1"/>
    <xf numFmtId="191" fontId="10" fillId="46" borderId="66" xfId="28" applyNumberFormat="1" applyFont="1" applyFill="1" applyBorder="1"/>
    <xf numFmtId="190" fontId="15" fillId="31" borderId="0" xfId="0" applyNumberFormat="1" applyFont="1" applyFill="1"/>
    <xf numFmtId="190" fontId="15" fillId="31" borderId="0" xfId="0" applyNumberFormat="1" applyFont="1" applyFill="1" applyBorder="1"/>
    <xf numFmtId="194" fontId="4" fillId="29" borderId="24" xfId="0" applyNumberFormat="1" applyFont="1" applyFill="1" applyBorder="1"/>
    <xf numFmtId="190" fontId="15" fillId="28" borderId="21" xfId="0" applyNumberFormat="1" applyFont="1" applyFill="1" applyBorder="1" applyAlignment="1">
      <alignment horizontal="center" vertical="center"/>
    </xf>
    <xf numFmtId="190" fontId="15" fillId="28" borderId="22" xfId="0" applyNumberFormat="1" applyFont="1" applyFill="1" applyBorder="1" applyAlignment="1">
      <alignment horizontal="center" vertical="center"/>
    </xf>
    <xf numFmtId="190" fontId="15" fillId="28" borderId="23" xfId="0" applyNumberFormat="1" applyFont="1" applyFill="1" applyBorder="1" applyAlignment="1">
      <alignment horizontal="center" vertical="center"/>
    </xf>
    <xf numFmtId="0" fontId="4" fillId="29" borderId="0" xfId="0" applyNumberFormat="1" applyFont="1" applyFill="1" applyAlignment="1">
      <alignment horizontal="left" indent="2"/>
    </xf>
    <xf numFmtId="0" fontId="4" fillId="29" borderId="0" xfId="0" applyNumberFormat="1" applyFont="1" applyFill="1" applyAlignment="1">
      <alignment horizontal="center"/>
    </xf>
    <xf numFmtId="44" fontId="10" fillId="46" borderId="6" xfId="0" applyNumberFormat="1" applyFont="1" applyFill="1" applyBorder="1" applyAlignment="1">
      <alignment horizontal="center"/>
    </xf>
    <xf numFmtId="191" fontId="10" fillId="46" borderId="55" xfId="0" applyFont="1" applyFill="1" applyBorder="1"/>
    <xf numFmtId="3" fontId="10" fillId="46" borderId="1" xfId="0" applyNumberFormat="1" applyFont="1" applyFill="1" applyBorder="1" applyAlignment="1">
      <alignment horizontal="center"/>
    </xf>
    <xf numFmtId="44" fontId="10" fillId="46" borderId="1" xfId="28" applyNumberFormat="1" applyFont="1" applyFill="1" applyBorder="1"/>
    <xf numFmtId="44" fontId="10" fillId="46" borderId="4" xfId="28" applyNumberFormat="1" applyFont="1" applyFill="1" applyBorder="1"/>
    <xf numFmtId="191" fontId="10" fillId="46" borderId="56" xfId="28" applyNumberFormat="1" applyFont="1" applyFill="1" applyBorder="1"/>
    <xf numFmtId="2" fontId="10" fillId="46" borderId="56" xfId="0" applyNumberFormat="1" applyFont="1" applyFill="1" applyBorder="1" applyAlignment="1">
      <alignment horizontal="center"/>
    </xf>
    <xf numFmtId="3" fontId="10" fillId="46" borderId="1" xfId="28" applyNumberFormat="1" applyFont="1" applyFill="1" applyBorder="1" applyAlignment="1">
      <alignment horizontal="center"/>
    </xf>
    <xf numFmtId="191" fontId="10" fillId="46" borderId="1" xfId="28" applyNumberFormat="1" applyFont="1" applyFill="1" applyBorder="1"/>
    <xf numFmtId="191" fontId="44" fillId="46" borderId="67" xfId="0" applyFont="1" applyFill="1" applyBorder="1"/>
    <xf numFmtId="3" fontId="44" fillId="46" borderId="7" xfId="0" applyNumberFormat="1" applyFont="1" applyFill="1" applyBorder="1" applyAlignment="1">
      <alignment horizontal="center"/>
    </xf>
    <xf numFmtId="182" fontId="44" fillId="46" borderId="7" xfId="28" applyNumberFormat="1" applyFont="1" applyFill="1" applyBorder="1"/>
    <xf numFmtId="44" fontId="44" fillId="46" borderId="83" xfId="28" applyNumberFormat="1" applyFont="1" applyFill="1" applyBorder="1"/>
    <xf numFmtId="44" fontId="10" fillId="46" borderId="6" xfId="28" applyNumberFormat="1" applyFont="1" applyFill="1" applyBorder="1"/>
    <xf numFmtId="191" fontId="10" fillId="46" borderId="67" xfId="0" applyFont="1" applyFill="1" applyBorder="1"/>
    <xf numFmtId="3" fontId="10" fillId="46" borderId="7" xfId="0" applyNumberFormat="1" applyFont="1" applyFill="1" applyBorder="1" applyAlignment="1">
      <alignment horizontal="center"/>
    </xf>
    <xf numFmtId="44" fontId="10" fillId="46" borderId="7" xfId="28" applyNumberFormat="1" applyFont="1" applyFill="1" applyBorder="1"/>
    <xf numFmtId="44" fontId="10" fillId="46" borderId="83" xfId="28" applyNumberFormat="1" applyFont="1" applyFill="1" applyBorder="1"/>
    <xf numFmtId="191" fontId="10" fillId="46" borderId="68" xfId="28" applyNumberFormat="1" applyFont="1" applyFill="1" applyBorder="1"/>
    <xf numFmtId="191" fontId="10" fillId="46" borderId="6" xfId="28" applyNumberFormat="1" applyFont="1" applyFill="1" applyBorder="1"/>
    <xf numFmtId="3" fontId="10" fillId="46" borderId="8" xfId="0" applyNumberFormat="1" applyFont="1" applyFill="1" applyBorder="1" applyAlignment="1">
      <alignment horizontal="center"/>
    </xf>
    <xf numFmtId="44" fontId="10" fillId="46" borderId="5" xfId="28" applyNumberFormat="1" applyFont="1" applyFill="1" applyBorder="1"/>
    <xf numFmtId="191" fontId="10" fillId="46" borderId="55" xfId="0" applyFont="1" applyFill="1" applyBorder="1" applyAlignment="1">
      <alignment wrapText="1"/>
    </xf>
    <xf numFmtId="191" fontId="10" fillId="46" borderId="1" xfId="0" applyNumberFormat="1" applyFont="1" applyFill="1" applyBorder="1" applyAlignment="1">
      <alignment horizontal="center"/>
    </xf>
    <xf numFmtId="7" fontId="15" fillId="11" borderId="30" xfId="28" applyNumberFormat="1" applyFont="1" applyFill="1" applyBorder="1"/>
    <xf numFmtId="0" fontId="4" fillId="29" borderId="27" xfId="0" applyNumberFormat="1" applyFont="1" applyFill="1" applyBorder="1"/>
    <xf numFmtId="0" fontId="27" fillId="7" borderId="12" xfId="0" applyNumberFormat="1" applyFont="1" applyFill="1" applyBorder="1" applyAlignment="1" applyProtection="1">
      <alignment horizontal="center" vertical="center" wrapText="1"/>
      <protection locked="0" hidden="1"/>
    </xf>
    <xf numFmtId="191" fontId="60" fillId="2" borderId="0" xfId="0" applyFont="1" applyFill="1" applyProtection="1">
      <protection hidden="1"/>
    </xf>
    <xf numFmtId="191" fontId="61" fillId="2" borderId="0" xfId="0" applyFont="1" applyFill="1" applyBorder="1" applyAlignment="1" applyProtection="1">
      <alignment horizontal="center" vertical="center" wrapText="1"/>
      <protection hidden="1"/>
    </xf>
    <xf numFmtId="191" fontId="10" fillId="48" borderId="55" xfId="0" applyFont="1" applyFill="1" applyBorder="1"/>
    <xf numFmtId="3" fontId="10" fillId="48" borderId="1" xfId="0" applyNumberFormat="1" applyFont="1" applyFill="1" applyBorder="1" applyAlignment="1">
      <alignment horizontal="center"/>
    </xf>
    <xf numFmtId="44" fontId="10" fillId="48" borderId="1" xfId="28" applyNumberFormat="1" applyFont="1" applyFill="1" applyBorder="1"/>
    <xf numFmtId="44" fontId="10" fillId="48" borderId="4" xfId="28" applyNumberFormat="1" applyFont="1" applyFill="1" applyBorder="1"/>
    <xf numFmtId="4" fontId="10" fillId="48" borderId="1" xfId="0" applyNumberFormat="1" applyFont="1" applyFill="1" applyBorder="1" applyAlignment="1">
      <alignment horizontal="center"/>
    </xf>
    <xf numFmtId="1" fontId="4" fillId="29" borderId="1" xfId="0" applyNumberFormat="1" applyFont="1" applyFill="1" applyBorder="1"/>
    <xf numFmtId="2" fontId="4" fillId="29" borderId="1" xfId="0" applyNumberFormat="1" applyFont="1" applyFill="1" applyBorder="1"/>
    <xf numFmtId="10" fontId="4" fillId="29" borderId="25" xfId="0" applyNumberFormat="1" applyFont="1" applyFill="1" applyBorder="1"/>
    <xf numFmtId="191" fontId="4" fillId="29" borderId="0" xfId="0" applyFont="1" applyFill="1" applyBorder="1" applyAlignment="1">
      <alignment horizontal="center" wrapText="1"/>
    </xf>
    <xf numFmtId="0" fontId="1" fillId="29" borderId="0" xfId="38" applyFont="1" applyFill="1"/>
    <xf numFmtId="0" fontId="62" fillId="29" borderId="0" xfId="38" applyFont="1" applyFill="1" applyAlignment="1" applyProtection="1">
      <protection hidden="1"/>
    </xf>
    <xf numFmtId="0" fontId="1" fillId="5" borderId="0" xfId="38" applyFont="1" applyFill="1"/>
    <xf numFmtId="0" fontId="63" fillId="5" borderId="0" xfId="38" applyFont="1" applyFill="1" applyAlignment="1" applyProtection="1">
      <protection hidden="1"/>
    </xf>
    <xf numFmtId="0" fontId="47" fillId="29" borderId="21" xfId="38" applyFont="1" applyFill="1" applyBorder="1"/>
    <xf numFmtId="180" fontId="47" fillId="29" borderId="23" xfId="38" applyNumberFormat="1" applyFont="1" applyFill="1" applyBorder="1"/>
    <xf numFmtId="0" fontId="47" fillId="29" borderId="24" xfId="38" applyFont="1" applyFill="1" applyBorder="1"/>
    <xf numFmtId="9" fontId="47" fillId="29" borderId="25" xfId="1" applyFont="1" applyFill="1" applyBorder="1"/>
    <xf numFmtId="165" fontId="47" fillId="29" borderId="25" xfId="38" applyNumberFormat="1" applyFont="1" applyFill="1" applyBorder="1"/>
    <xf numFmtId="164" fontId="47" fillId="29" borderId="25" xfId="38" applyNumberFormat="1" applyFont="1" applyFill="1" applyBorder="1"/>
    <xf numFmtId="189" fontId="47" fillId="29" borderId="25" xfId="38" applyNumberFormat="1" applyFont="1" applyFill="1" applyBorder="1"/>
    <xf numFmtId="8" fontId="47" fillId="29" borderId="25" xfId="38" applyNumberFormat="1" applyFont="1" applyFill="1" applyBorder="1"/>
    <xf numFmtId="0" fontId="47" fillId="29" borderId="28" xfId="38" applyFont="1" applyFill="1" applyBorder="1"/>
    <xf numFmtId="165" fontId="47" fillId="29" borderId="29" xfId="38" applyNumberFormat="1" applyFont="1" applyFill="1" applyBorder="1"/>
    <xf numFmtId="0" fontId="65" fillId="9" borderId="86" xfId="39" applyFont="1" applyFill="1" applyBorder="1" applyAlignment="1"/>
    <xf numFmtId="0" fontId="65" fillId="9" borderId="87" xfId="39" applyFont="1" applyFill="1" applyBorder="1" applyAlignment="1"/>
    <xf numFmtId="0" fontId="47" fillId="29" borderId="21" xfId="40" applyFont="1" applyFill="1" applyBorder="1"/>
    <xf numFmtId="178" fontId="47" fillId="29" borderId="23" xfId="40" applyNumberFormat="1" applyFont="1" applyFill="1" applyBorder="1"/>
    <xf numFmtId="0" fontId="47" fillId="29" borderId="24" xfId="40" applyFont="1" applyFill="1" applyBorder="1"/>
    <xf numFmtId="178" fontId="47" fillId="29" borderId="25" xfId="40" applyNumberFormat="1" applyFont="1" applyFill="1" applyBorder="1"/>
    <xf numFmtId="0" fontId="47" fillId="29" borderId="28" xfId="40" applyFont="1" applyFill="1" applyBorder="1"/>
    <xf numFmtId="178" fontId="47" fillId="29" borderId="29" xfId="40" applyNumberFormat="1" applyFont="1" applyFill="1" applyBorder="1"/>
    <xf numFmtId="191" fontId="10" fillId="29" borderId="0" xfId="0" applyFont="1" applyFill="1" applyBorder="1"/>
    <xf numFmtId="195" fontId="15" fillId="29" borderId="0" xfId="0" applyNumberFormat="1" applyFont="1" applyFill="1" applyBorder="1"/>
    <xf numFmtId="191" fontId="15" fillId="29" borderId="0" xfId="29" applyNumberFormat="1" applyFont="1" applyFill="1" applyBorder="1" applyProtection="1">
      <protection hidden="1"/>
    </xf>
    <xf numFmtId="195" fontId="15" fillId="29" borderId="0" xfId="29" applyNumberFormat="1" applyFont="1" applyFill="1" applyBorder="1" applyProtection="1">
      <protection hidden="1"/>
    </xf>
    <xf numFmtId="191" fontId="44" fillId="29" borderId="0" xfId="29" applyNumberFormat="1" applyFont="1" applyFill="1" applyBorder="1" applyProtection="1">
      <protection hidden="1"/>
    </xf>
    <xf numFmtId="195" fontId="44" fillId="29" borderId="0" xfId="29" applyNumberFormat="1" applyFont="1" applyFill="1" applyBorder="1" applyProtection="1">
      <protection hidden="1"/>
    </xf>
    <xf numFmtId="195" fontId="15" fillId="29" borderId="0" xfId="0" applyNumberFormat="1" applyFont="1" applyFill="1" applyBorder="1" applyProtection="1">
      <protection hidden="1"/>
    </xf>
    <xf numFmtId="191" fontId="15" fillId="29" borderId="0" xfId="0" applyNumberFormat="1" applyFont="1" applyFill="1" applyBorder="1" applyProtection="1">
      <protection hidden="1"/>
    </xf>
    <xf numFmtId="191" fontId="47" fillId="29" borderId="0" xfId="0" applyFont="1" applyFill="1" applyBorder="1"/>
    <xf numFmtId="191" fontId="12" fillId="27" borderId="10" xfId="29" applyNumberFormat="1" applyFont="1" applyFill="1" applyBorder="1" applyProtection="1">
      <protection hidden="1"/>
    </xf>
    <xf numFmtId="191" fontId="15" fillId="29" borderId="42" xfId="29" applyNumberFormat="1" applyFont="1" applyFill="1" applyBorder="1" applyProtection="1">
      <protection hidden="1"/>
    </xf>
    <xf numFmtId="191" fontId="12" fillId="11" borderId="10" xfId="29" applyNumberFormat="1" applyFont="1" applyFill="1" applyBorder="1" applyProtection="1">
      <protection hidden="1"/>
    </xf>
    <xf numFmtId="195" fontId="12" fillId="27" borderId="10" xfId="29" applyNumberFormat="1" applyFont="1" applyFill="1" applyBorder="1" applyProtection="1">
      <protection hidden="1"/>
    </xf>
    <xf numFmtId="195" fontId="15" fillId="29" borderId="42" xfId="29" applyNumberFormat="1" applyFont="1" applyFill="1" applyBorder="1" applyProtection="1">
      <protection hidden="1"/>
    </xf>
    <xf numFmtId="195" fontId="12" fillId="11" borderId="10" xfId="29" applyNumberFormat="1" applyFont="1" applyFill="1" applyBorder="1" applyProtection="1">
      <protection hidden="1"/>
    </xf>
    <xf numFmtId="195" fontId="15" fillId="27" borderId="10" xfId="1" applyNumberFormat="1" applyFont="1" applyFill="1" applyBorder="1" applyProtection="1">
      <protection hidden="1"/>
    </xf>
    <xf numFmtId="195" fontId="15" fillId="27" borderId="26" xfId="1" applyNumberFormat="1" applyFont="1" applyFill="1" applyBorder="1" applyProtection="1">
      <protection hidden="1"/>
    </xf>
    <xf numFmtId="191" fontId="43" fillId="22" borderId="26" xfId="29" applyNumberFormat="1" applyFont="1" applyFill="1" applyBorder="1" applyProtection="1">
      <protection hidden="1"/>
    </xf>
    <xf numFmtId="195" fontId="10" fillId="22" borderId="37" xfId="29" applyNumberFormat="1" applyFont="1" applyFill="1" applyBorder="1" applyProtection="1">
      <protection hidden="1"/>
    </xf>
    <xf numFmtId="195" fontId="10" fillId="22" borderId="37" xfId="1" applyNumberFormat="1" applyFont="1" applyFill="1" applyBorder="1" applyProtection="1">
      <protection hidden="1"/>
    </xf>
    <xf numFmtId="195" fontId="10" fillId="22" borderId="30" xfId="1" applyNumberFormat="1" applyFont="1" applyFill="1" applyBorder="1" applyProtection="1">
      <protection hidden="1"/>
    </xf>
    <xf numFmtId="191" fontId="43" fillId="34" borderId="26" xfId="0" applyNumberFormat="1" applyFont="1" applyFill="1" applyBorder="1" applyProtection="1">
      <protection hidden="1"/>
    </xf>
    <xf numFmtId="195" fontId="10" fillId="34" borderId="37" xfId="0" applyNumberFormat="1" applyFont="1" applyFill="1" applyBorder="1" applyProtection="1">
      <protection hidden="1"/>
    </xf>
    <xf numFmtId="195" fontId="10" fillId="34" borderId="37" xfId="1" applyNumberFormat="1" applyFont="1" applyFill="1" applyBorder="1" applyProtection="1">
      <protection hidden="1"/>
    </xf>
    <xf numFmtId="195" fontId="10" fillId="34" borderId="30" xfId="1" applyNumberFormat="1" applyFont="1" applyFill="1" applyBorder="1" applyProtection="1">
      <protection hidden="1"/>
    </xf>
    <xf numFmtId="191" fontId="12" fillId="11" borderId="26" xfId="0" applyNumberFormat="1" applyFont="1" applyFill="1" applyBorder="1" applyProtection="1">
      <protection hidden="1"/>
    </xf>
    <xf numFmtId="191" fontId="43" fillId="14" borderId="26" xfId="0" applyNumberFormat="1" applyFont="1" applyFill="1" applyBorder="1" applyProtection="1">
      <protection hidden="1"/>
    </xf>
    <xf numFmtId="191" fontId="15" fillId="29" borderId="24" xfId="0" applyNumberFormat="1" applyFont="1" applyFill="1" applyBorder="1" applyAlignment="1" applyProtection="1">
      <alignment horizontal="left" indent="1"/>
      <protection hidden="1"/>
    </xf>
    <xf numFmtId="191" fontId="15" fillId="29" borderId="11" xfId="0" applyNumberFormat="1" applyFont="1" applyFill="1" applyBorder="1" applyProtection="1">
      <protection hidden="1"/>
    </xf>
    <xf numFmtId="191" fontId="15" fillId="29" borderId="39" xfId="29" applyNumberFormat="1" applyFont="1" applyFill="1" applyBorder="1" applyProtection="1">
      <protection hidden="1"/>
    </xf>
    <xf numFmtId="180" fontId="15" fillId="29" borderId="13" xfId="1" applyNumberFormat="1" applyFont="1" applyFill="1" applyBorder="1" applyProtection="1">
      <protection hidden="1"/>
    </xf>
    <xf numFmtId="191" fontId="15" fillId="29" borderId="21" xfId="29" applyNumberFormat="1" applyFont="1" applyFill="1" applyBorder="1" applyProtection="1">
      <protection hidden="1"/>
    </xf>
    <xf numFmtId="191" fontId="15" fillId="29" borderId="24" xfId="29" applyNumberFormat="1" applyFont="1" applyFill="1" applyBorder="1" applyProtection="1">
      <protection hidden="1"/>
    </xf>
    <xf numFmtId="191" fontId="44" fillId="29" borderId="24" xfId="29" applyNumberFormat="1" applyFont="1" applyFill="1" applyBorder="1" applyProtection="1">
      <protection hidden="1"/>
    </xf>
    <xf numFmtId="180" fontId="15" fillId="29" borderId="28" xfId="1" applyNumberFormat="1" applyFont="1" applyFill="1" applyBorder="1" applyProtection="1">
      <protection hidden="1"/>
    </xf>
    <xf numFmtId="195" fontId="44" fillId="29" borderId="25" xfId="29" applyNumberFormat="1" applyFont="1" applyFill="1" applyBorder="1" applyProtection="1">
      <protection hidden="1"/>
    </xf>
    <xf numFmtId="191" fontId="12" fillId="11" borderId="26" xfId="29" applyNumberFormat="1" applyFont="1" applyFill="1" applyBorder="1" applyProtection="1">
      <protection hidden="1"/>
    </xf>
    <xf numFmtId="195" fontId="15" fillId="29" borderId="39" xfId="29" applyNumberFormat="1" applyFont="1" applyFill="1" applyBorder="1" applyProtection="1">
      <protection hidden="1"/>
    </xf>
    <xf numFmtId="195" fontId="43" fillId="14" borderId="10" xfId="0" applyNumberFormat="1" applyFont="1" applyFill="1" applyBorder="1" applyProtection="1">
      <protection hidden="1"/>
    </xf>
    <xf numFmtId="195" fontId="15" fillId="5" borderId="10" xfId="29" applyNumberFormat="1" applyFont="1" applyFill="1" applyBorder="1" applyProtection="1">
      <protection hidden="1"/>
    </xf>
    <xf numFmtId="195" fontId="15" fillId="29" borderId="39" xfId="29" quotePrefix="1" applyNumberFormat="1" applyFont="1" applyFill="1" applyBorder="1" applyProtection="1">
      <protection hidden="1"/>
    </xf>
    <xf numFmtId="191" fontId="15" fillId="29" borderId="13" xfId="29" applyNumberFormat="1" applyFont="1" applyFill="1" applyBorder="1" applyProtection="1">
      <protection hidden="1"/>
    </xf>
    <xf numFmtId="195" fontId="15" fillId="29" borderId="13" xfId="29" quotePrefix="1" applyNumberFormat="1" applyFont="1" applyFill="1" applyBorder="1" applyProtection="1">
      <protection hidden="1"/>
    </xf>
    <xf numFmtId="191" fontId="12" fillId="11" borderId="39" xfId="0" applyNumberFormat="1" applyFont="1" applyFill="1" applyBorder="1" applyProtection="1">
      <protection hidden="1"/>
    </xf>
    <xf numFmtId="195" fontId="12" fillId="11" borderId="39" xfId="29" applyNumberFormat="1" applyFont="1" applyFill="1" applyBorder="1" applyProtection="1">
      <protection hidden="1"/>
    </xf>
    <xf numFmtId="191" fontId="47" fillId="26" borderId="10" xfId="0" applyFont="1" applyFill="1" applyBorder="1"/>
    <xf numFmtId="195" fontId="47" fillId="26" borderId="10" xfId="0" applyNumberFormat="1" applyFont="1" applyFill="1" applyBorder="1"/>
    <xf numFmtId="191" fontId="15" fillId="29" borderId="37" xfId="0" applyNumberFormat="1" applyFont="1" applyFill="1" applyBorder="1" applyProtection="1">
      <protection hidden="1"/>
    </xf>
    <xf numFmtId="195" fontId="15" fillId="29" borderId="11" xfId="0" applyNumberFormat="1" applyFont="1" applyFill="1" applyBorder="1" applyProtection="1">
      <protection hidden="1"/>
    </xf>
    <xf numFmtId="191" fontId="12" fillId="27" borderId="10" xfId="0" applyNumberFormat="1" applyFont="1" applyFill="1" applyBorder="1" applyProtection="1">
      <protection hidden="1"/>
    </xf>
    <xf numFmtId="191" fontId="15" fillId="29" borderId="37" xfId="0" applyFont="1" applyFill="1" applyBorder="1"/>
    <xf numFmtId="191" fontId="4" fillId="29" borderId="25" xfId="0" applyFont="1" applyFill="1" applyBorder="1" applyAlignment="1">
      <alignment horizontal="center" wrapText="1"/>
    </xf>
    <xf numFmtId="167" fontId="4" fillId="29" borderId="25" xfId="24" applyFont="1" applyFill="1" applyBorder="1" applyAlignment="1">
      <alignment horizontal="center" wrapText="1"/>
    </xf>
    <xf numFmtId="167" fontId="4" fillId="29" borderId="25" xfId="24" applyFont="1" applyFill="1" applyBorder="1"/>
    <xf numFmtId="9" fontId="4" fillId="29" borderId="22" xfId="0" applyNumberFormat="1" applyFont="1" applyFill="1" applyBorder="1"/>
    <xf numFmtId="191" fontId="47" fillId="29" borderId="0" xfId="0" applyFont="1" applyFill="1"/>
    <xf numFmtId="178" fontId="30" fillId="5" borderId="22" xfId="0" applyNumberFormat="1" applyFont="1" applyFill="1" applyBorder="1" applyAlignment="1">
      <alignment horizontal="center"/>
    </xf>
    <xf numFmtId="178" fontId="30" fillId="5" borderId="11" xfId="0" applyNumberFormat="1" applyFont="1" applyFill="1" applyBorder="1" applyAlignment="1">
      <alignment horizontal="center"/>
    </xf>
    <xf numFmtId="178" fontId="29" fillId="11" borderId="88" xfId="0" applyNumberFormat="1" applyFont="1" applyFill="1" applyBorder="1" applyAlignment="1">
      <alignment horizontal="center"/>
    </xf>
    <xf numFmtId="191" fontId="30" fillId="11" borderId="10" xfId="0" applyFont="1" applyFill="1" applyBorder="1"/>
    <xf numFmtId="191" fontId="30" fillId="27" borderId="28" xfId="0" applyFont="1" applyFill="1" applyBorder="1" applyAlignment="1"/>
    <xf numFmtId="1" fontId="30" fillId="11" borderId="26" xfId="0" applyNumberFormat="1" applyFont="1" applyFill="1" applyBorder="1" applyAlignment="1">
      <alignment horizontal="center"/>
    </xf>
    <xf numFmtId="1" fontId="30" fillId="11" borderId="37" xfId="0" applyNumberFormat="1" applyFont="1" applyFill="1" applyBorder="1" applyAlignment="1">
      <alignment horizontal="center"/>
    </xf>
    <xf numFmtId="2" fontId="30" fillId="11" borderId="30" xfId="0" applyNumberFormat="1" applyFont="1" applyFill="1" applyBorder="1" applyAlignment="1">
      <alignment horizontal="center"/>
    </xf>
    <xf numFmtId="191" fontId="29" fillId="28" borderId="48" xfId="0" applyFont="1" applyFill="1" applyBorder="1" applyAlignment="1">
      <alignment horizontal="center"/>
    </xf>
    <xf numFmtId="191" fontId="30" fillId="27" borderId="10" xfId="0" applyFont="1" applyFill="1" applyBorder="1" applyAlignment="1">
      <alignment horizontal="center"/>
    </xf>
    <xf numFmtId="191" fontId="29" fillId="28" borderId="10" xfId="0" applyFont="1" applyFill="1" applyBorder="1" applyAlignment="1">
      <alignment horizontal="center"/>
    </xf>
    <xf numFmtId="191" fontId="29" fillId="27" borderId="23" xfId="4" applyFont="1" applyFill="1" applyBorder="1" applyAlignment="1"/>
    <xf numFmtId="191" fontId="30" fillId="27" borderId="29" xfId="0" applyFont="1" applyFill="1" applyBorder="1" applyAlignment="1"/>
    <xf numFmtId="191" fontId="29" fillId="27" borderId="10" xfId="30" applyFont="1" applyFill="1" applyBorder="1" applyAlignment="1">
      <alignment horizontal="center"/>
    </xf>
    <xf numFmtId="190" fontId="30" fillId="28" borderId="39" xfId="0" applyNumberFormat="1" applyFont="1" applyFill="1" applyBorder="1"/>
    <xf numFmtId="191" fontId="29" fillId="28" borderId="26" xfId="0" applyFont="1" applyFill="1" applyBorder="1" applyAlignment="1">
      <alignment horizontal="center"/>
    </xf>
    <xf numFmtId="191" fontId="29" fillId="5" borderId="10" xfId="0" applyFont="1" applyFill="1" applyBorder="1" applyAlignment="1">
      <alignment horizontal="center"/>
    </xf>
    <xf numFmtId="178" fontId="30" fillId="5" borderId="39" xfId="0" applyNumberFormat="1" applyFont="1" applyFill="1" applyBorder="1" applyAlignment="1">
      <alignment horizontal="center"/>
    </xf>
    <xf numFmtId="178" fontId="30" fillId="5" borderId="42" xfId="0" applyNumberFormat="1" applyFont="1" applyFill="1" applyBorder="1" applyAlignment="1">
      <alignment horizontal="center"/>
    </xf>
    <xf numFmtId="178" fontId="30" fillId="5" borderId="13" xfId="0" applyNumberFormat="1" applyFont="1" applyFill="1" applyBorder="1" applyAlignment="1">
      <alignment horizontal="center"/>
    </xf>
    <xf numFmtId="178" fontId="30" fillId="11" borderId="10" xfId="0" applyNumberFormat="1" applyFont="1" applyFill="1" applyBorder="1" applyAlignment="1">
      <alignment horizontal="center"/>
    </xf>
    <xf numFmtId="1" fontId="30" fillId="29" borderId="39" xfId="0" applyNumberFormat="1" applyFont="1" applyFill="1" applyBorder="1" applyAlignment="1">
      <alignment horizontal="center"/>
    </xf>
    <xf numFmtId="1" fontId="30" fillId="29" borderId="13" xfId="0" applyNumberFormat="1" applyFont="1" applyFill="1" applyBorder="1" applyAlignment="1">
      <alignment horizontal="center"/>
    </xf>
    <xf numFmtId="178" fontId="30" fillId="11" borderId="26" xfId="0" applyNumberFormat="1" applyFont="1" applyFill="1" applyBorder="1" applyAlignment="1">
      <alignment horizontal="center"/>
    </xf>
    <xf numFmtId="178" fontId="30" fillId="5" borderId="23" xfId="0" applyNumberFormat="1" applyFont="1" applyFill="1" applyBorder="1" applyAlignment="1">
      <alignment horizontal="center"/>
    </xf>
    <xf numFmtId="178" fontId="30" fillId="5" borderId="25" xfId="0" applyNumberFormat="1" applyFont="1" applyFill="1" applyBorder="1" applyAlignment="1">
      <alignment horizontal="center"/>
    </xf>
    <xf numFmtId="178" fontId="30" fillId="5" borderId="29" xfId="0" applyNumberFormat="1" applyFont="1" applyFill="1" applyBorder="1" applyAlignment="1">
      <alignment horizontal="center"/>
    </xf>
    <xf numFmtId="191" fontId="29" fillId="5" borderId="30" xfId="0" applyFont="1" applyFill="1" applyBorder="1" applyAlignment="1">
      <alignment horizontal="center"/>
    </xf>
    <xf numFmtId="0" fontId="30" fillId="29" borderId="0" xfId="0" applyNumberFormat="1" applyFont="1" applyFill="1" applyAlignment="1">
      <alignment horizontal="center"/>
    </xf>
    <xf numFmtId="0" fontId="30" fillId="28" borderId="24" xfId="0" applyNumberFormat="1" applyFont="1" applyFill="1" applyBorder="1" applyAlignment="1">
      <alignment horizontal="center"/>
    </xf>
    <xf numFmtId="0" fontId="30" fillId="28" borderId="0" xfId="0" applyNumberFormat="1" applyFont="1" applyFill="1" applyBorder="1" applyAlignment="1">
      <alignment horizontal="center"/>
    </xf>
    <xf numFmtId="0" fontId="30" fillId="28" borderId="13" xfId="0" applyNumberFormat="1" applyFont="1" applyFill="1" applyBorder="1" applyAlignment="1">
      <alignment horizontal="center"/>
    </xf>
    <xf numFmtId="0" fontId="30" fillId="28" borderId="25" xfId="0" applyNumberFormat="1" applyFont="1" applyFill="1" applyBorder="1" applyAlignment="1">
      <alignment horizontal="center"/>
    </xf>
    <xf numFmtId="187" fontId="15" fillId="23" borderId="56" xfId="0" applyNumberFormat="1" applyFont="1" applyFill="1" applyBorder="1" applyAlignment="1">
      <alignment horizontal="center"/>
    </xf>
    <xf numFmtId="191" fontId="15" fillId="40" borderId="21" xfId="0" applyFont="1" applyFill="1" applyBorder="1" applyAlignment="1">
      <alignment vertical="center" wrapText="1"/>
    </xf>
    <xf numFmtId="191" fontId="15" fillId="40" borderId="22" xfId="0" applyFont="1" applyFill="1" applyBorder="1" applyAlignment="1">
      <alignment wrapText="1"/>
    </xf>
    <xf numFmtId="191" fontId="15" fillId="33" borderId="58" xfId="0" applyFont="1" applyFill="1" applyBorder="1" applyAlignment="1">
      <alignment horizontal="center"/>
    </xf>
    <xf numFmtId="191" fontId="15" fillId="47" borderId="60" xfId="0" applyFont="1" applyFill="1" applyBorder="1" applyAlignment="1">
      <alignment horizontal="center"/>
    </xf>
    <xf numFmtId="191" fontId="15" fillId="42" borderId="24" xfId="0" applyFont="1" applyFill="1" applyBorder="1"/>
    <xf numFmtId="191" fontId="15" fillId="38" borderId="0" xfId="0" applyFont="1" applyFill="1" applyBorder="1"/>
    <xf numFmtId="2" fontId="10" fillId="38" borderId="56" xfId="0" applyNumberFormat="1" applyFont="1" applyFill="1" applyBorder="1" applyAlignment="1">
      <alignment horizontal="center"/>
    </xf>
    <xf numFmtId="191" fontId="15" fillId="39" borderId="24" xfId="0" applyFont="1" applyFill="1" applyBorder="1" applyAlignment="1">
      <alignment horizontal="left" indent="1"/>
    </xf>
    <xf numFmtId="191" fontId="15" fillId="39" borderId="0" xfId="0" applyFont="1" applyFill="1" applyBorder="1"/>
    <xf numFmtId="191" fontId="45" fillId="29" borderId="42" xfId="0" applyFont="1" applyFill="1" applyBorder="1"/>
    <xf numFmtId="166" fontId="47" fillId="29" borderId="0" xfId="0" applyNumberFormat="1" applyFont="1" applyFill="1" applyBorder="1"/>
    <xf numFmtId="191" fontId="45" fillId="11" borderId="10" xfId="0" applyFont="1" applyFill="1" applyBorder="1"/>
    <xf numFmtId="166" fontId="47" fillId="11" borderId="37" xfId="0" applyNumberFormat="1" applyFont="1" applyFill="1" applyBorder="1"/>
    <xf numFmtId="191" fontId="45" fillId="16" borderId="37" xfId="4" applyFont="1" applyFill="1" applyBorder="1" applyAlignment="1"/>
    <xf numFmtId="166" fontId="47" fillId="11" borderId="10" xfId="0" applyNumberFormat="1" applyFont="1" applyFill="1" applyBorder="1"/>
    <xf numFmtId="191" fontId="45" fillId="2" borderId="10" xfId="0" applyFont="1" applyFill="1" applyBorder="1"/>
    <xf numFmtId="166" fontId="47" fillId="2" borderId="37" xfId="0" applyNumberFormat="1" applyFont="1" applyFill="1" applyBorder="1"/>
    <xf numFmtId="166" fontId="47" fillId="2" borderId="10" xfId="0" applyNumberFormat="1" applyFont="1" applyFill="1" applyBorder="1"/>
    <xf numFmtId="1" fontId="47" fillId="29" borderId="0" xfId="0" applyNumberFormat="1" applyFont="1" applyFill="1" applyBorder="1" applyAlignment="1">
      <alignment horizontal="center"/>
    </xf>
    <xf numFmtId="191" fontId="46" fillId="29" borderId="0" xfId="0" applyFont="1" applyFill="1" applyBorder="1"/>
    <xf numFmtId="191" fontId="1" fillId="29" borderId="0" xfId="0" applyFont="1" applyFill="1" applyBorder="1"/>
    <xf numFmtId="191" fontId="45" fillId="29" borderId="39" xfId="0" applyFont="1" applyFill="1" applyBorder="1"/>
    <xf numFmtId="44" fontId="47" fillId="29" borderId="0" xfId="0" applyNumberFormat="1" applyFont="1" applyFill="1" applyBorder="1" applyAlignment="1">
      <alignment horizontal="center"/>
    </xf>
    <xf numFmtId="44" fontId="47" fillId="29" borderId="42" xfId="0" applyNumberFormat="1" applyFont="1" applyFill="1" applyBorder="1" applyAlignment="1">
      <alignment horizontal="center"/>
    </xf>
    <xf numFmtId="44" fontId="1" fillId="29" borderId="0" xfId="0" applyNumberFormat="1" applyFont="1" applyFill="1" applyBorder="1" applyAlignment="1">
      <alignment horizontal="center"/>
    </xf>
    <xf numFmtId="191" fontId="45" fillId="29" borderId="42" xfId="0" applyFont="1" applyFill="1" applyBorder="1" applyAlignment="1">
      <alignment horizontal="left" indent="1"/>
    </xf>
    <xf numFmtId="44" fontId="47" fillId="11" borderId="10" xfId="0" applyNumberFormat="1" applyFont="1" applyFill="1" applyBorder="1" applyAlignment="1">
      <alignment horizontal="center"/>
    </xf>
    <xf numFmtId="44" fontId="47" fillId="11" borderId="37" xfId="0" applyNumberFormat="1" applyFont="1" applyFill="1" applyBorder="1" applyAlignment="1">
      <alignment horizontal="center"/>
    </xf>
    <xf numFmtId="44" fontId="1" fillId="29" borderId="37" xfId="0" applyNumberFormat="1" applyFont="1" applyFill="1" applyBorder="1" applyAlignment="1">
      <alignment horizontal="center"/>
    </xf>
    <xf numFmtId="191" fontId="45" fillId="30" borderId="26" xfId="4" applyFont="1" applyFill="1" applyBorder="1" applyAlignment="1"/>
    <xf numFmtId="44" fontId="47" fillId="30" borderId="37" xfId="0" applyNumberFormat="1" applyFont="1" applyFill="1" applyBorder="1" applyAlignment="1">
      <alignment horizontal="center"/>
    </xf>
    <xf numFmtId="44" fontId="47" fillId="30" borderId="30" xfId="0" applyNumberFormat="1" applyFont="1" applyFill="1" applyBorder="1" applyAlignment="1">
      <alignment horizontal="center"/>
    </xf>
    <xf numFmtId="44" fontId="47" fillId="29" borderId="0" xfId="0" applyNumberFormat="1" applyFont="1" applyFill="1" applyBorder="1" applyAlignment="1">
      <alignment horizontal="right"/>
    </xf>
    <xf numFmtId="44" fontId="47" fillId="29" borderId="39" xfId="0" applyNumberFormat="1" applyFont="1" applyFill="1" applyBorder="1" applyAlignment="1">
      <alignment horizontal="right"/>
    </xf>
    <xf numFmtId="44" fontId="47" fillId="29" borderId="42" xfId="0" applyNumberFormat="1" applyFont="1" applyFill="1" applyBorder="1" applyAlignment="1">
      <alignment horizontal="right"/>
    </xf>
    <xf numFmtId="44" fontId="47" fillId="11" borderId="10" xfId="0" applyNumberFormat="1" applyFont="1" applyFill="1" applyBorder="1" applyAlignment="1">
      <alignment horizontal="right"/>
    </xf>
    <xf numFmtId="44" fontId="47" fillId="11" borderId="37" xfId="0" applyNumberFormat="1" applyFont="1" applyFill="1" applyBorder="1" applyAlignment="1">
      <alignment horizontal="right"/>
    </xf>
    <xf numFmtId="44" fontId="47" fillId="29" borderId="37" xfId="0" applyNumberFormat="1" applyFont="1" applyFill="1" applyBorder="1" applyAlignment="1">
      <alignment horizontal="right"/>
    </xf>
    <xf numFmtId="44" fontId="47" fillId="29" borderId="0" xfId="1" applyNumberFormat="1" applyFont="1" applyFill="1" applyBorder="1" applyAlignment="1">
      <alignment horizontal="right"/>
    </xf>
    <xf numFmtId="44" fontId="47" fillId="32" borderId="37" xfId="0" applyNumberFormat="1" applyFont="1" applyFill="1" applyBorder="1" applyAlignment="1">
      <alignment horizontal="right"/>
    </xf>
    <xf numFmtId="191" fontId="45" fillId="33" borderId="10" xfId="0" applyFont="1" applyFill="1" applyBorder="1"/>
    <xf numFmtId="44" fontId="47" fillId="33" borderId="10" xfId="0" applyNumberFormat="1" applyFont="1" applyFill="1" applyBorder="1" applyAlignment="1">
      <alignment horizontal="right"/>
    </xf>
    <xf numFmtId="44" fontId="47" fillId="33" borderId="26" xfId="0" applyNumberFormat="1" applyFont="1" applyFill="1" applyBorder="1" applyAlignment="1">
      <alignment horizontal="right"/>
    </xf>
    <xf numFmtId="44" fontId="47" fillId="33" borderId="37" xfId="0" applyNumberFormat="1" applyFont="1" applyFill="1" applyBorder="1" applyAlignment="1">
      <alignment horizontal="right"/>
    </xf>
    <xf numFmtId="191" fontId="47" fillId="27" borderId="10" xfId="0" applyFont="1" applyFill="1" applyBorder="1"/>
    <xf numFmtId="195" fontId="47" fillId="27" borderId="10" xfId="0" applyNumberFormat="1" applyFont="1" applyFill="1" applyBorder="1" applyAlignment="1">
      <alignment horizontal="right"/>
    </xf>
    <xf numFmtId="195" fontId="47" fillId="27" borderId="26" xfId="0" applyNumberFormat="1" applyFont="1" applyFill="1" applyBorder="1" applyAlignment="1">
      <alignment horizontal="right"/>
    </xf>
    <xf numFmtId="195" fontId="47" fillId="27" borderId="37" xfId="0" applyNumberFormat="1" applyFont="1" applyFill="1" applyBorder="1" applyAlignment="1">
      <alignment horizontal="right"/>
    </xf>
    <xf numFmtId="9" fontId="47" fillId="29" borderId="0" xfId="1" applyFont="1" applyFill="1" applyBorder="1"/>
    <xf numFmtId="191" fontId="45" fillId="28" borderId="10" xfId="4" applyFont="1" applyFill="1" applyBorder="1" applyAlignment="1">
      <alignment horizontal="center" vertical="center"/>
    </xf>
    <xf numFmtId="44" fontId="59" fillId="52" borderId="0" xfId="0" applyNumberFormat="1" applyFont="1" applyFill="1" applyBorder="1" applyAlignment="1">
      <alignment horizontal="center"/>
    </xf>
    <xf numFmtId="44" fontId="59" fillId="52" borderId="0" xfId="0" applyNumberFormat="1" applyFont="1" applyFill="1" applyBorder="1" applyAlignment="1">
      <alignment horizontal="right"/>
    </xf>
    <xf numFmtId="44" fontId="59" fillId="52" borderId="21" xfId="0" applyNumberFormat="1" applyFont="1" applyFill="1" applyBorder="1" applyAlignment="1">
      <alignment horizontal="right"/>
    </xf>
    <xf numFmtId="44" fontId="59" fillId="52" borderId="22" xfId="0" applyNumberFormat="1" applyFont="1" applyFill="1" applyBorder="1" applyAlignment="1">
      <alignment horizontal="right"/>
    </xf>
    <xf numFmtId="44" fontId="59" fillId="52" borderId="23" xfId="0" applyNumberFormat="1" applyFont="1" applyFill="1" applyBorder="1" applyAlignment="1">
      <alignment horizontal="right"/>
    </xf>
    <xf numFmtId="44" fontId="59" fillId="52" borderId="24" xfId="0" applyNumberFormat="1" applyFont="1" applyFill="1" applyBorder="1" applyAlignment="1">
      <alignment horizontal="right"/>
    </xf>
    <xf numFmtId="44" fontId="59" fillId="52" borderId="25" xfId="0" applyNumberFormat="1" applyFont="1" applyFill="1" applyBorder="1" applyAlignment="1">
      <alignment horizontal="right"/>
    </xf>
    <xf numFmtId="191" fontId="45" fillId="32" borderId="26" xfId="4" applyFont="1" applyFill="1" applyBorder="1" applyAlignment="1"/>
    <xf numFmtId="44" fontId="47" fillId="32" borderId="30" xfId="0" applyNumberFormat="1" applyFont="1" applyFill="1" applyBorder="1" applyAlignment="1">
      <alignment horizontal="right"/>
    </xf>
    <xf numFmtId="191" fontId="45" fillId="51" borderId="26" xfId="4" applyFont="1" applyFill="1" applyBorder="1" applyAlignment="1"/>
    <xf numFmtId="191" fontId="1" fillId="51" borderId="37" xfId="0" applyFont="1" applyFill="1" applyBorder="1"/>
    <xf numFmtId="178" fontId="1" fillId="51" borderId="37" xfId="0" applyNumberFormat="1" applyFont="1" applyFill="1" applyBorder="1" applyAlignment="1">
      <alignment horizontal="center"/>
    </xf>
    <xf numFmtId="191" fontId="1" fillId="51" borderId="30" xfId="0" applyFont="1" applyFill="1" applyBorder="1"/>
    <xf numFmtId="44" fontId="59" fillId="52" borderId="0" xfId="28" applyNumberFormat="1" applyFont="1" applyFill="1" applyBorder="1" applyAlignment="1">
      <alignment horizontal="right"/>
    </xf>
    <xf numFmtId="191" fontId="47" fillId="28" borderId="26" xfId="0" applyFont="1" applyFill="1" applyBorder="1"/>
    <xf numFmtId="191" fontId="47" fillId="28" borderId="37" xfId="0" applyFont="1" applyFill="1" applyBorder="1"/>
    <xf numFmtId="191" fontId="47" fillId="28" borderId="30" xfId="0" applyFont="1" applyFill="1" applyBorder="1"/>
    <xf numFmtId="0" fontId="45" fillId="28" borderId="10" xfId="39" applyFont="1" applyFill="1" applyBorder="1" applyAlignment="1">
      <alignment horizontal="center" vertical="center"/>
    </xf>
    <xf numFmtId="191" fontId="45" fillId="28" borderId="10" xfId="0" applyFont="1" applyFill="1" applyBorder="1" applyAlignment="1">
      <alignment horizontal="center"/>
    </xf>
    <xf numFmtId="191" fontId="45" fillId="16" borderId="26" xfId="4" applyFont="1" applyFill="1" applyBorder="1" applyAlignment="1"/>
    <xf numFmtId="191" fontId="45" fillId="16" borderId="30" xfId="4" applyFont="1" applyFill="1" applyBorder="1" applyAlignment="1"/>
    <xf numFmtId="191" fontId="47" fillId="5" borderId="26" xfId="4" applyFont="1" applyFill="1" applyBorder="1" applyAlignment="1"/>
    <xf numFmtId="191" fontId="47" fillId="5" borderId="37" xfId="4" applyFont="1" applyFill="1" applyBorder="1" applyAlignment="1">
      <alignment horizontal="center" vertical="center"/>
    </xf>
    <xf numFmtId="191" fontId="47" fillId="5" borderId="30" xfId="4" applyFont="1" applyFill="1" applyBorder="1" applyAlignment="1">
      <alignment vertical="center"/>
    </xf>
    <xf numFmtId="191" fontId="45" fillId="5" borderId="10" xfId="4" applyFont="1" applyFill="1" applyBorder="1" applyAlignment="1"/>
    <xf numFmtId="191" fontId="47" fillId="5" borderId="10" xfId="0" applyFont="1" applyFill="1" applyBorder="1" applyAlignment="1">
      <alignment horizontal="left" vertical="center"/>
    </xf>
    <xf numFmtId="166" fontId="47" fillId="5" borderId="10" xfId="28" applyFont="1" applyFill="1" applyBorder="1"/>
    <xf numFmtId="191" fontId="59" fillId="29" borderId="0" xfId="0" applyFont="1" applyFill="1" applyBorder="1"/>
    <xf numFmtId="44" fontId="47" fillId="29" borderId="0" xfId="0" applyNumberFormat="1" applyFont="1" applyFill="1" applyBorder="1"/>
    <xf numFmtId="44" fontId="47" fillId="29" borderId="42" xfId="0" applyNumberFormat="1" applyFont="1" applyFill="1" applyBorder="1"/>
    <xf numFmtId="44" fontId="47" fillId="11" borderId="37" xfId="0" applyNumberFormat="1" applyFont="1" applyFill="1" applyBorder="1"/>
    <xf numFmtId="44" fontId="47" fillId="11" borderId="10" xfId="0" applyNumberFormat="1" applyFont="1" applyFill="1" applyBorder="1"/>
    <xf numFmtId="191" fontId="47" fillId="5" borderId="39" xfId="0" applyFont="1" applyFill="1" applyBorder="1" applyAlignment="1">
      <alignment horizontal="left" vertical="center"/>
    </xf>
    <xf numFmtId="44" fontId="47" fillId="5" borderId="39" xfId="28" applyNumberFormat="1" applyFont="1" applyFill="1" applyBorder="1" applyAlignment="1">
      <alignment horizontal="center" vertical="center"/>
    </xf>
    <xf numFmtId="191" fontId="47" fillId="5" borderId="13" xfId="0" applyFont="1" applyFill="1" applyBorder="1" applyAlignment="1">
      <alignment horizontal="left" vertical="center"/>
    </xf>
    <xf numFmtId="44" fontId="47" fillId="5" borderId="13" xfId="28" applyNumberFormat="1" applyFont="1" applyFill="1" applyBorder="1" applyAlignment="1">
      <alignment horizontal="center" vertical="center"/>
    </xf>
    <xf numFmtId="191" fontId="45" fillId="5" borderId="37" xfId="4" applyFont="1" applyFill="1" applyBorder="1" applyAlignment="1">
      <alignment horizontal="center" vertical="center"/>
    </xf>
    <xf numFmtId="191" fontId="45" fillId="16" borderId="10" xfId="4" applyFont="1" applyFill="1" applyBorder="1" applyAlignment="1"/>
    <xf numFmtId="191" fontId="45" fillId="5" borderId="26" xfId="4" applyFont="1" applyFill="1" applyBorder="1" applyAlignment="1"/>
    <xf numFmtId="191" fontId="47" fillId="5" borderId="24" xfId="0" applyFont="1" applyFill="1" applyBorder="1" applyAlignment="1">
      <alignment horizontal="left" vertical="center"/>
    </xf>
    <xf numFmtId="166" fontId="47" fillId="5" borderId="42" xfId="28" applyFont="1" applyFill="1" applyBorder="1" applyAlignment="1">
      <alignment horizontal="center" vertical="center"/>
    </xf>
    <xf numFmtId="191" fontId="47" fillId="5" borderId="50" xfId="0" applyFont="1" applyFill="1" applyBorder="1" applyAlignment="1">
      <alignment horizontal="left" vertical="center"/>
    </xf>
    <xf numFmtId="166" fontId="47" fillId="5" borderId="30" xfId="28" applyFont="1" applyFill="1" applyBorder="1"/>
    <xf numFmtId="191" fontId="47" fillId="28" borderId="10" xfId="0" applyFont="1" applyFill="1" applyBorder="1" applyAlignment="1">
      <alignment horizontal="center"/>
    </xf>
    <xf numFmtId="191" fontId="45" fillId="5" borderId="30" xfId="4" applyFont="1" applyFill="1" applyBorder="1" applyAlignment="1">
      <alignment vertical="center"/>
    </xf>
    <xf numFmtId="44" fontId="45" fillId="16" borderId="37" xfId="4" applyNumberFormat="1" applyFont="1" applyFill="1" applyBorder="1" applyAlignment="1"/>
    <xf numFmtId="44" fontId="45" fillId="16" borderId="30" xfId="4" applyNumberFormat="1" applyFont="1" applyFill="1" applyBorder="1" applyAlignment="1"/>
    <xf numFmtId="44" fontId="47" fillId="2" borderId="37" xfId="0" applyNumberFormat="1" applyFont="1" applyFill="1" applyBorder="1"/>
    <xf numFmtId="44" fontId="47" fillId="2" borderId="10" xfId="0" applyNumberFormat="1" applyFont="1" applyFill="1" applyBorder="1"/>
    <xf numFmtId="191" fontId="3" fillId="29" borderId="0" xfId="0" applyFont="1" applyFill="1" applyAlignment="1">
      <alignment horizontal="left"/>
    </xf>
    <xf numFmtId="0" fontId="47" fillId="5" borderId="10" xfId="0" applyNumberFormat="1" applyFont="1" applyFill="1" applyBorder="1" applyAlignment="1" applyProtection="1">
      <alignment horizontal="center"/>
      <protection hidden="1"/>
    </xf>
    <xf numFmtId="191" fontId="45" fillId="5" borderId="10" xfId="0" applyFont="1" applyFill="1" applyBorder="1" applyAlignment="1" applyProtection="1">
      <alignment horizontal="center"/>
      <protection hidden="1"/>
    </xf>
    <xf numFmtId="9" fontId="15" fillId="29" borderId="13" xfId="1" applyFont="1" applyFill="1" applyBorder="1" applyProtection="1">
      <protection hidden="1"/>
    </xf>
    <xf numFmtId="1" fontId="3" fillId="29" borderId="0" xfId="0" applyNumberFormat="1" applyFont="1" applyFill="1" applyAlignment="1">
      <alignment horizontal="left"/>
    </xf>
    <xf numFmtId="1" fontId="47" fillId="5" borderId="10" xfId="0" applyNumberFormat="1" applyFont="1" applyFill="1" applyBorder="1" applyAlignment="1" applyProtection="1">
      <alignment horizontal="center"/>
      <protection hidden="1"/>
    </xf>
    <xf numFmtId="1" fontId="12" fillId="27" borderId="37" xfId="29" applyNumberFormat="1" applyFont="1" applyFill="1" applyBorder="1" applyProtection="1">
      <protection hidden="1"/>
    </xf>
    <xf numFmtId="1" fontId="15" fillId="29" borderId="0" xfId="29" applyNumberFormat="1" applyFont="1" applyFill="1" applyBorder="1" applyProtection="1">
      <protection hidden="1"/>
    </xf>
    <xf numFmtId="1" fontId="12" fillId="11" borderId="37" xfId="29" applyNumberFormat="1" applyFont="1" applyFill="1" applyBorder="1" applyProtection="1">
      <protection hidden="1"/>
    </xf>
    <xf numFmtId="1" fontId="44" fillId="29" borderId="0" xfId="29" applyNumberFormat="1" applyFont="1" applyFill="1" applyBorder="1" applyProtection="1">
      <protection hidden="1"/>
    </xf>
    <xf numFmtId="1" fontId="43" fillId="22" borderId="26" xfId="29" applyNumberFormat="1" applyFont="1" applyFill="1" applyBorder="1" applyProtection="1">
      <protection hidden="1"/>
    </xf>
    <xf numFmtId="1" fontId="15" fillId="29" borderId="39" xfId="29" applyNumberFormat="1" applyFont="1" applyFill="1" applyBorder="1" applyProtection="1">
      <protection hidden="1"/>
    </xf>
    <xf numFmtId="1" fontId="15" fillId="29" borderId="42" xfId="29" applyNumberFormat="1" applyFont="1" applyFill="1" applyBorder="1" applyProtection="1">
      <protection hidden="1"/>
    </xf>
    <xf numFmtId="1" fontId="12" fillId="11" borderId="10" xfId="29" applyNumberFormat="1" applyFont="1" applyFill="1" applyBorder="1" applyProtection="1">
      <protection hidden="1"/>
    </xf>
    <xf numFmtId="1" fontId="44" fillId="29" borderId="24" xfId="29" applyNumberFormat="1" applyFont="1" applyFill="1" applyBorder="1" applyProtection="1">
      <protection hidden="1"/>
    </xf>
    <xf numFmtId="1" fontId="15" fillId="29" borderId="13" xfId="1" applyNumberFormat="1" applyFont="1" applyFill="1" applyBorder="1" applyProtection="1">
      <protection hidden="1"/>
    </xf>
    <xf numFmtId="1" fontId="43" fillId="34" borderId="37" xfId="0" applyNumberFormat="1" applyFont="1" applyFill="1" applyBorder="1" applyProtection="1">
      <protection hidden="1"/>
    </xf>
    <xf numFmtId="1" fontId="15" fillId="29" borderId="42" xfId="0" applyNumberFormat="1" applyFont="1" applyFill="1" applyBorder="1" applyProtection="1">
      <protection hidden="1"/>
    </xf>
    <xf numFmtId="1" fontId="12" fillId="11" borderId="10" xfId="0" applyNumberFormat="1" applyFont="1" applyFill="1" applyBorder="1" applyProtection="1">
      <protection hidden="1"/>
    </xf>
    <xf numFmtId="1" fontId="43" fillId="14" borderId="10" xfId="0" applyNumberFormat="1" applyFont="1" applyFill="1" applyBorder="1" applyProtection="1">
      <protection hidden="1"/>
    </xf>
    <xf numFmtId="1" fontId="15" fillId="5" borderId="10" xfId="0" applyNumberFormat="1" applyFont="1" applyFill="1" applyBorder="1" applyProtection="1">
      <protection hidden="1"/>
    </xf>
    <xf numFmtId="1" fontId="15" fillId="29" borderId="0" xfId="0" applyNumberFormat="1" applyFont="1" applyFill="1" applyBorder="1" applyProtection="1">
      <protection hidden="1"/>
    </xf>
    <xf numFmtId="1" fontId="12" fillId="27" borderId="10" xfId="0" applyNumberFormat="1" applyFont="1" applyFill="1" applyBorder="1" applyProtection="1">
      <protection hidden="1"/>
    </xf>
    <xf numFmtId="1" fontId="15" fillId="29" borderId="11" xfId="0" applyNumberFormat="1" applyFont="1" applyFill="1" applyBorder="1" applyProtection="1">
      <protection hidden="1"/>
    </xf>
    <xf numFmtId="1" fontId="15" fillId="29" borderId="13" xfId="29" applyNumberFormat="1" applyFont="1" applyFill="1" applyBorder="1" applyProtection="1">
      <protection hidden="1"/>
    </xf>
    <xf numFmtId="1" fontId="15" fillId="29" borderId="37" xfId="0" applyNumberFormat="1" applyFont="1" applyFill="1" applyBorder="1" applyProtection="1">
      <protection hidden="1"/>
    </xf>
    <xf numFmtId="1" fontId="12" fillId="11" borderId="39" xfId="0" applyNumberFormat="1" applyFont="1" applyFill="1" applyBorder="1" applyProtection="1">
      <protection hidden="1"/>
    </xf>
    <xf numFmtId="1" fontId="15" fillId="29" borderId="37" xfId="0" applyNumberFormat="1" applyFont="1" applyFill="1" applyBorder="1"/>
    <xf numFmtId="1" fontId="47" fillId="26" borderId="10" xfId="0" applyNumberFormat="1" applyFont="1" applyFill="1" applyBorder="1"/>
    <xf numFmtId="1" fontId="10" fillId="29" borderId="0" xfId="0" applyNumberFormat="1" applyFont="1" applyFill="1" applyBorder="1"/>
    <xf numFmtId="191" fontId="15" fillId="33" borderId="21" xfId="0" applyNumberFormat="1" applyFont="1" applyFill="1" applyBorder="1" applyProtection="1">
      <protection hidden="1"/>
    </xf>
    <xf numFmtId="1" fontId="15" fillId="33" borderId="39" xfId="0" applyNumberFormat="1" applyFont="1" applyFill="1" applyBorder="1" applyProtection="1">
      <protection hidden="1"/>
    </xf>
    <xf numFmtId="195" fontId="15" fillId="33" borderId="39" xfId="29" applyNumberFormat="1" applyFont="1" applyFill="1" applyBorder="1" applyProtection="1">
      <protection hidden="1"/>
    </xf>
    <xf numFmtId="191" fontId="15" fillId="33" borderId="24" xfId="0" applyNumberFormat="1" applyFont="1" applyFill="1" applyBorder="1" applyProtection="1">
      <protection hidden="1"/>
    </xf>
    <xf numFmtId="1" fontId="15" fillId="33" borderId="42" xfId="0" applyNumberFormat="1" applyFont="1" applyFill="1" applyBorder="1" applyProtection="1">
      <protection hidden="1"/>
    </xf>
    <xf numFmtId="195" fontId="15" fillId="33" borderId="42" xfId="29" applyNumberFormat="1" applyFont="1" applyFill="1" applyBorder="1" applyProtection="1">
      <protection hidden="1"/>
    </xf>
    <xf numFmtId="190" fontId="3" fillId="29" borderId="0" xfId="0" applyNumberFormat="1" applyFont="1" applyFill="1" applyAlignment="1">
      <alignment horizontal="left"/>
    </xf>
    <xf numFmtId="190" fontId="10" fillId="29" borderId="0" xfId="0" applyNumberFormat="1" applyFont="1" applyFill="1" applyBorder="1"/>
    <xf numFmtId="190" fontId="15" fillId="29" borderId="0" xfId="0" applyNumberFormat="1" applyFont="1" applyFill="1" applyBorder="1"/>
    <xf numFmtId="190" fontId="47" fillId="29" borderId="0" xfId="0" applyNumberFormat="1" applyFont="1" applyFill="1" applyBorder="1"/>
    <xf numFmtId="185" fontId="45" fillId="16" borderId="10" xfId="29" applyNumberFormat="1" applyFont="1" applyFill="1" applyBorder="1" applyAlignment="1" applyProtection="1">
      <alignment horizontal="center" vertical="center" wrapText="1"/>
      <protection hidden="1"/>
    </xf>
    <xf numFmtId="191" fontId="45" fillId="8" borderId="26" xfId="0" applyNumberFormat="1" applyFont="1" applyFill="1" applyBorder="1" applyProtection="1">
      <protection hidden="1"/>
    </xf>
    <xf numFmtId="191" fontId="47" fillId="8" borderId="37" xfId="0" applyFont="1" applyFill="1" applyBorder="1" applyProtection="1">
      <protection hidden="1"/>
    </xf>
    <xf numFmtId="184" fontId="47" fillId="8" borderId="37" xfId="0" applyNumberFormat="1" applyFont="1" applyFill="1" applyBorder="1" applyProtection="1">
      <protection hidden="1"/>
    </xf>
    <xf numFmtId="184" fontId="47" fillId="8" borderId="30" xfId="0" applyNumberFormat="1" applyFont="1" applyFill="1" applyBorder="1" applyProtection="1">
      <protection hidden="1"/>
    </xf>
    <xf numFmtId="184" fontId="47" fillId="29" borderId="0" xfId="0" applyNumberFormat="1" applyFont="1" applyFill="1"/>
    <xf numFmtId="191" fontId="1" fillId="29" borderId="0" xfId="0" applyFont="1" applyFill="1"/>
    <xf numFmtId="186" fontId="1" fillId="29" borderId="0" xfId="0" applyNumberFormat="1" applyFont="1" applyFill="1"/>
    <xf numFmtId="191" fontId="47" fillId="29" borderId="10" xfId="0" applyNumberFormat="1" applyFont="1" applyFill="1" applyBorder="1" applyProtection="1">
      <protection hidden="1"/>
    </xf>
    <xf numFmtId="184" fontId="47" fillId="29" borderId="10" xfId="29" applyNumberFormat="1" applyFont="1" applyFill="1" applyBorder="1" applyProtection="1">
      <protection hidden="1"/>
    </xf>
    <xf numFmtId="191" fontId="47" fillId="11" borderId="10" xfId="0" applyNumberFormat="1" applyFont="1" applyFill="1" applyBorder="1" applyProtection="1">
      <protection hidden="1"/>
    </xf>
    <xf numFmtId="184" fontId="45" fillId="11" borderId="10" xfId="29" applyNumberFormat="1" applyFont="1" applyFill="1" applyBorder="1" applyProtection="1">
      <protection hidden="1"/>
    </xf>
    <xf numFmtId="191" fontId="47" fillId="29" borderId="39" xfId="0" applyNumberFormat="1" applyFont="1" applyFill="1" applyBorder="1" applyProtection="1">
      <protection hidden="1"/>
    </xf>
    <xf numFmtId="184" fontId="47" fillId="29" borderId="39" xfId="29" applyNumberFormat="1" applyFont="1" applyFill="1" applyBorder="1" applyProtection="1">
      <protection hidden="1"/>
    </xf>
    <xf numFmtId="191" fontId="47" fillId="29" borderId="42" xfId="0" applyNumberFormat="1" applyFont="1" applyFill="1" applyBorder="1" applyProtection="1">
      <protection hidden="1"/>
    </xf>
    <xf numFmtId="184" fontId="47" fillId="29" borderId="42" xfId="29" applyNumberFormat="1" applyFont="1" applyFill="1" applyBorder="1" applyProtection="1">
      <protection hidden="1"/>
    </xf>
    <xf numFmtId="191" fontId="47" fillId="29" borderId="13" xfId="0" applyNumberFormat="1" applyFont="1" applyFill="1" applyBorder="1" applyProtection="1">
      <protection hidden="1"/>
    </xf>
    <xf numFmtId="184" fontId="47" fillId="29" borderId="13" xfId="29" applyNumberFormat="1" applyFont="1" applyFill="1" applyBorder="1" applyProtection="1">
      <protection hidden="1"/>
    </xf>
    <xf numFmtId="186" fontId="47" fillId="29" borderId="0" xfId="0" applyNumberFormat="1" applyFont="1" applyFill="1"/>
    <xf numFmtId="191" fontId="45" fillId="29" borderId="0" xfId="0" applyFont="1" applyFill="1" applyBorder="1" applyAlignment="1" applyProtection="1">
      <alignment horizontal="center"/>
      <protection hidden="1"/>
    </xf>
    <xf numFmtId="184" fontId="47" fillId="29" borderId="43" xfId="29" applyNumberFormat="1" applyFont="1" applyFill="1" applyBorder="1" applyProtection="1">
      <protection hidden="1"/>
    </xf>
    <xf numFmtId="184" fontId="47" fillId="29" borderId="0" xfId="0" applyNumberFormat="1" applyFont="1" applyFill="1" applyProtection="1">
      <protection hidden="1"/>
    </xf>
    <xf numFmtId="191" fontId="45" fillId="28" borderId="20" xfId="0" applyFont="1" applyFill="1" applyBorder="1" applyAlignment="1" applyProtection="1">
      <alignment horizontal="center"/>
      <protection hidden="1"/>
    </xf>
    <xf numFmtId="184" fontId="47" fillId="29" borderId="20" xfId="29" applyNumberFormat="1" applyFont="1" applyFill="1" applyBorder="1" applyProtection="1">
      <protection hidden="1"/>
    </xf>
    <xf numFmtId="184" fontId="47" fillId="29" borderId="20" xfId="0" applyNumberFormat="1" applyFont="1" applyFill="1" applyBorder="1" applyProtection="1">
      <protection hidden="1"/>
    </xf>
    <xf numFmtId="184" fontId="47" fillId="5" borderId="20" xfId="29" applyNumberFormat="1" applyFont="1" applyFill="1" applyBorder="1" applyProtection="1">
      <protection hidden="1"/>
    </xf>
    <xf numFmtId="184" fontId="47" fillId="11" borderId="20" xfId="29" applyNumberFormat="1" applyFont="1" applyFill="1" applyBorder="1" applyProtection="1">
      <protection hidden="1"/>
    </xf>
    <xf numFmtId="184" fontId="45" fillId="11" borderId="20" xfId="29" applyNumberFormat="1" applyFont="1" applyFill="1" applyBorder="1" applyProtection="1">
      <protection hidden="1"/>
    </xf>
    <xf numFmtId="191" fontId="45" fillId="16" borderId="90" xfId="0" applyFont="1" applyFill="1" applyBorder="1" applyProtection="1">
      <protection hidden="1"/>
    </xf>
    <xf numFmtId="191" fontId="47" fillId="29" borderId="90" xfId="29" applyNumberFormat="1" applyFont="1" applyFill="1" applyBorder="1" applyProtection="1">
      <protection hidden="1"/>
    </xf>
    <xf numFmtId="191" fontId="47" fillId="29" borderId="91" xfId="29" applyNumberFormat="1" applyFont="1" applyFill="1" applyBorder="1" applyProtection="1">
      <protection hidden="1"/>
    </xf>
    <xf numFmtId="191" fontId="47" fillId="29" borderId="90" xfId="0" applyFont="1" applyFill="1" applyBorder="1" applyProtection="1">
      <protection hidden="1"/>
    </xf>
    <xf numFmtId="191" fontId="47" fillId="29" borderId="91" xfId="0" applyFont="1" applyFill="1" applyBorder="1" applyProtection="1">
      <protection hidden="1"/>
    </xf>
    <xf numFmtId="191" fontId="47" fillId="5" borderId="90" xfId="0" applyFont="1" applyFill="1" applyBorder="1" applyProtection="1">
      <protection hidden="1"/>
    </xf>
    <xf numFmtId="191" fontId="47" fillId="5" borderId="91" xfId="0" applyFont="1" applyFill="1" applyBorder="1" applyProtection="1">
      <protection hidden="1"/>
    </xf>
    <xf numFmtId="191" fontId="45" fillId="16" borderId="90" xfId="0" applyNumberFormat="1" applyFont="1" applyFill="1" applyBorder="1" applyProtection="1">
      <protection hidden="1"/>
    </xf>
    <xf numFmtId="191" fontId="47" fillId="29" borderId="90" xfId="0" applyNumberFormat="1" applyFont="1" applyFill="1" applyBorder="1" applyProtection="1">
      <protection hidden="1"/>
    </xf>
    <xf numFmtId="191" fontId="47" fillId="29" borderId="91" xfId="0" applyNumberFormat="1" applyFont="1" applyFill="1" applyBorder="1" applyProtection="1">
      <protection hidden="1"/>
    </xf>
    <xf numFmtId="191" fontId="47" fillId="11" borderId="90" xfId="0" applyNumberFormat="1" applyFont="1" applyFill="1" applyBorder="1" applyProtection="1">
      <protection hidden="1"/>
    </xf>
    <xf numFmtId="191" fontId="47" fillId="11" borderId="91" xfId="0" applyNumberFormat="1" applyFont="1" applyFill="1" applyBorder="1" applyProtection="1">
      <protection hidden="1"/>
    </xf>
    <xf numFmtId="191" fontId="47" fillId="11" borderId="90" xfId="29" applyNumberFormat="1" applyFont="1" applyFill="1" applyBorder="1" applyProtection="1">
      <protection hidden="1"/>
    </xf>
    <xf numFmtId="191" fontId="47" fillId="11" borderId="91" xfId="29" applyNumberFormat="1" applyFont="1" applyFill="1" applyBorder="1" applyProtection="1">
      <protection hidden="1"/>
    </xf>
    <xf numFmtId="191" fontId="45" fillId="11" borderId="90" xfId="0" applyNumberFormat="1" applyFont="1" applyFill="1" applyBorder="1" applyProtection="1">
      <protection hidden="1"/>
    </xf>
    <xf numFmtId="166" fontId="45" fillId="11" borderId="91" xfId="28" applyFont="1" applyFill="1" applyBorder="1" applyProtection="1">
      <protection hidden="1"/>
    </xf>
    <xf numFmtId="191" fontId="47" fillId="29" borderId="0" xfId="0" applyFont="1" applyFill="1" applyBorder="1" applyProtection="1">
      <protection hidden="1"/>
    </xf>
    <xf numFmtId="191" fontId="45" fillId="16" borderId="92" xfId="0" applyNumberFormat="1" applyFont="1" applyFill="1" applyBorder="1" applyProtection="1">
      <protection hidden="1"/>
    </xf>
    <xf numFmtId="184" fontId="45" fillId="16" borderId="92" xfId="29" applyNumberFormat="1" applyFont="1" applyFill="1" applyBorder="1" applyProtection="1">
      <protection hidden="1"/>
    </xf>
    <xf numFmtId="184" fontId="45" fillId="16" borderId="91" xfId="29" applyNumberFormat="1" applyFont="1" applyFill="1" applyBorder="1" applyProtection="1">
      <protection hidden="1"/>
    </xf>
    <xf numFmtId="184" fontId="47" fillId="16" borderId="92" xfId="29" applyNumberFormat="1" applyFont="1" applyFill="1" applyBorder="1" applyProtection="1">
      <protection hidden="1"/>
    </xf>
    <xf numFmtId="184" fontId="47" fillId="16" borderId="91" xfId="29" applyNumberFormat="1" applyFont="1" applyFill="1" applyBorder="1" applyProtection="1">
      <protection hidden="1"/>
    </xf>
    <xf numFmtId="191" fontId="45" fillId="16" borderId="92" xfId="0" applyFont="1" applyFill="1" applyBorder="1" applyProtection="1">
      <protection hidden="1"/>
    </xf>
    <xf numFmtId="184" fontId="47" fillId="16" borderId="92" xfId="0" applyNumberFormat="1" applyFont="1" applyFill="1" applyBorder="1" applyProtection="1">
      <protection hidden="1"/>
    </xf>
    <xf numFmtId="184" fontId="47" fillId="16" borderId="91" xfId="0" applyNumberFormat="1" applyFont="1" applyFill="1" applyBorder="1" applyProtection="1">
      <protection hidden="1"/>
    </xf>
    <xf numFmtId="191" fontId="47" fillId="16" borderId="92" xfId="0" applyFont="1" applyFill="1" applyBorder="1" applyProtection="1">
      <protection hidden="1"/>
    </xf>
    <xf numFmtId="191" fontId="47" fillId="16" borderId="91" xfId="0" applyFont="1" applyFill="1" applyBorder="1" applyProtection="1">
      <protection hidden="1"/>
    </xf>
    <xf numFmtId="191" fontId="47" fillId="29" borderId="45" xfId="29" applyNumberFormat="1" applyFont="1" applyFill="1" applyBorder="1" applyProtection="1">
      <protection hidden="1"/>
    </xf>
    <xf numFmtId="191" fontId="47" fillId="29" borderId="46" xfId="29" applyNumberFormat="1" applyFont="1" applyFill="1" applyBorder="1" applyProtection="1">
      <protection hidden="1"/>
    </xf>
    <xf numFmtId="184" fontId="47" fillId="29" borderId="93" xfId="29" applyNumberFormat="1" applyFont="1" applyFill="1" applyBorder="1" applyProtection="1">
      <protection hidden="1"/>
    </xf>
    <xf numFmtId="191" fontId="47" fillId="29" borderId="33" xfId="29" applyNumberFormat="1" applyFont="1" applyFill="1" applyBorder="1" applyProtection="1">
      <protection hidden="1"/>
    </xf>
    <xf numFmtId="191" fontId="47" fillId="29" borderId="34" xfId="29" applyNumberFormat="1" applyFont="1" applyFill="1" applyBorder="1" applyProtection="1">
      <protection hidden="1"/>
    </xf>
    <xf numFmtId="184" fontId="47" fillId="29" borderId="94" xfId="29" applyNumberFormat="1" applyFont="1" applyFill="1" applyBorder="1" applyProtection="1">
      <protection hidden="1"/>
    </xf>
    <xf numFmtId="191" fontId="47" fillId="29" borderId="31" xfId="29" applyNumberFormat="1" applyFont="1" applyFill="1" applyBorder="1" applyProtection="1">
      <protection hidden="1"/>
    </xf>
    <xf numFmtId="191" fontId="47" fillId="29" borderId="32" xfId="29" applyNumberFormat="1" applyFont="1" applyFill="1" applyBorder="1" applyProtection="1">
      <protection hidden="1"/>
    </xf>
    <xf numFmtId="184" fontId="47" fillId="29" borderId="95" xfId="29" applyNumberFormat="1" applyFont="1" applyFill="1" applyBorder="1" applyProtection="1">
      <protection hidden="1"/>
    </xf>
    <xf numFmtId="191" fontId="47" fillId="29" borderId="31" xfId="0" applyNumberFormat="1" applyFont="1" applyFill="1" applyBorder="1" applyProtection="1">
      <protection hidden="1"/>
    </xf>
    <xf numFmtId="191" fontId="47" fillId="29" borderId="32" xfId="0" applyNumberFormat="1" applyFont="1" applyFill="1" applyBorder="1" applyProtection="1">
      <protection hidden="1"/>
    </xf>
    <xf numFmtId="184" fontId="47" fillId="29" borderId="95" xfId="0" applyNumberFormat="1" applyFont="1" applyFill="1" applyBorder="1" applyProtection="1">
      <protection hidden="1"/>
    </xf>
    <xf numFmtId="191" fontId="47" fillId="29" borderId="33" xfId="0" applyNumberFormat="1" applyFont="1" applyFill="1" applyBorder="1" applyProtection="1">
      <protection hidden="1"/>
    </xf>
    <xf numFmtId="191" fontId="47" fillId="29" borderId="34" xfId="0" applyNumberFormat="1" applyFont="1" applyFill="1" applyBorder="1" applyProtection="1">
      <protection hidden="1"/>
    </xf>
    <xf numFmtId="191" fontId="47" fillId="29" borderId="92" xfId="29" applyNumberFormat="1" applyFont="1" applyFill="1" applyBorder="1" applyProtection="1">
      <protection hidden="1"/>
    </xf>
    <xf numFmtId="184" fontId="47" fillId="29" borderId="92" xfId="29" applyNumberFormat="1" applyFont="1" applyFill="1" applyBorder="1" applyProtection="1">
      <protection hidden="1"/>
    </xf>
    <xf numFmtId="191" fontId="47" fillId="29" borderId="92" xfId="0" applyNumberFormat="1" applyFont="1" applyFill="1" applyBorder="1" applyProtection="1">
      <protection hidden="1"/>
    </xf>
    <xf numFmtId="184" fontId="47" fillId="29" borderId="92" xfId="0" applyNumberFormat="1" applyFont="1" applyFill="1" applyBorder="1" applyProtection="1">
      <protection hidden="1"/>
    </xf>
    <xf numFmtId="191" fontId="47" fillId="29" borderId="0" xfId="0" applyFont="1" applyFill="1" applyAlignment="1">
      <alignment wrapText="1"/>
    </xf>
    <xf numFmtId="191" fontId="45" fillId="32" borderId="0" xfId="0" applyFont="1" applyFill="1" applyAlignment="1">
      <alignment wrapText="1"/>
    </xf>
    <xf numFmtId="191" fontId="47" fillId="32" borderId="0" xfId="0" applyFont="1" applyFill="1" applyAlignment="1">
      <alignment wrapText="1"/>
    </xf>
    <xf numFmtId="191" fontId="47" fillId="32" borderId="0" xfId="0" applyFont="1" applyFill="1"/>
    <xf numFmtId="191" fontId="47" fillId="27" borderId="70" xfId="0" applyFont="1" applyFill="1" applyBorder="1" applyAlignment="1">
      <alignment wrapText="1"/>
    </xf>
    <xf numFmtId="178" fontId="47" fillId="27" borderId="71" xfId="0" applyNumberFormat="1" applyFont="1" applyFill="1" applyBorder="1" applyAlignment="1">
      <alignment wrapText="1"/>
    </xf>
    <xf numFmtId="191" fontId="47" fillId="27" borderId="72" xfId="0" applyFont="1" applyFill="1" applyBorder="1" applyAlignment="1">
      <alignment wrapText="1"/>
    </xf>
    <xf numFmtId="10" fontId="47" fillId="27" borderId="73" xfId="0" applyNumberFormat="1" applyFont="1" applyFill="1" applyBorder="1" applyAlignment="1">
      <alignment wrapText="1"/>
    </xf>
    <xf numFmtId="191" fontId="47" fillId="27" borderId="73" xfId="0" applyFont="1" applyFill="1" applyBorder="1" applyAlignment="1">
      <alignment wrapText="1"/>
    </xf>
    <xf numFmtId="191" fontId="47" fillId="27" borderId="74" xfId="0" applyFont="1" applyFill="1" applyBorder="1" applyAlignment="1">
      <alignment wrapText="1"/>
    </xf>
    <xf numFmtId="165" fontId="47" fillId="27" borderId="75" xfId="0" applyNumberFormat="1" applyFont="1" applyFill="1" applyBorder="1" applyAlignment="1">
      <alignment wrapText="1"/>
    </xf>
    <xf numFmtId="165" fontId="47" fillId="29" borderId="0" xfId="0" applyNumberFormat="1" applyFont="1" applyFill="1" applyAlignment="1">
      <alignment wrapText="1"/>
    </xf>
    <xf numFmtId="191" fontId="45" fillId="27" borderId="69" xfId="0" applyFont="1" applyFill="1" applyBorder="1" applyAlignment="1">
      <alignment horizontal="center" wrapText="1"/>
    </xf>
    <xf numFmtId="191" fontId="47" fillId="29" borderId="76" xfId="0" applyFont="1" applyFill="1" applyBorder="1" applyAlignment="1">
      <alignment horizontal="center" wrapText="1"/>
    </xf>
    <xf numFmtId="178" fontId="47" fillId="29" borderId="69" xfId="0" applyNumberFormat="1" applyFont="1" applyFill="1" applyBorder="1" applyAlignment="1">
      <alignment horizontal="center" wrapText="1"/>
    </xf>
    <xf numFmtId="164" fontId="47" fillId="29" borderId="69" xfId="0" applyNumberFormat="1" applyFont="1" applyFill="1" applyBorder="1" applyAlignment="1">
      <alignment horizontal="center" wrapText="1"/>
    </xf>
    <xf numFmtId="191" fontId="47" fillId="29" borderId="69" xfId="0" applyFont="1" applyFill="1" applyBorder="1" applyAlignment="1">
      <alignment horizontal="center" wrapText="1"/>
    </xf>
    <xf numFmtId="191" fontId="47" fillId="29" borderId="77" xfId="0" applyFont="1" applyFill="1" applyBorder="1" applyAlignment="1">
      <alignment horizontal="center" wrapText="1"/>
    </xf>
    <xf numFmtId="191" fontId="1" fillId="41" borderId="0" xfId="0" applyFont="1" applyFill="1" applyBorder="1"/>
    <xf numFmtId="191" fontId="1" fillId="41" borderId="0" xfId="0" applyFont="1" applyFill="1"/>
    <xf numFmtId="166" fontId="47" fillId="29" borderId="0" xfId="0" applyNumberFormat="1" applyFont="1" applyFill="1" applyBorder="1" applyAlignment="1">
      <alignment horizontal="center"/>
    </xf>
    <xf numFmtId="166" fontId="1" fillId="29" borderId="0" xfId="0" applyNumberFormat="1" applyFont="1" applyFill="1" applyBorder="1" applyAlignment="1">
      <alignment horizontal="center"/>
    </xf>
    <xf numFmtId="166" fontId="47" fillId="11" borderId="10" xfId="0" applyNumberFormat="1" applyFont="1" applyFill="1" applyBorder="1" applyAlignment="1">
      <alignment horizontal="center"/>
    </xf>
    <xf numFmtId="166" fontId="47" fillId="11" borderId="37" xfId="0" applyNumberFormat="1" applyFont="1" applyFill="1" applyBorder="1" applyAlignment="1">
      <alignment horizontal="center"/>
    </xf>
    <xf numFmtId="166" fontId="47" fillId="11" borderId="26" xfId="0" applyNumberFormat="1" applyFont="1" applyFill="1" applyBorder="1" applyAlignment="1">
      <alignment horizontal="center"/>
    </xf>
    <xf numFmtId="166" fontId="1" fillId="16" borderId="37" xfId="0" applyNumberFormat="1" applyFont="1" applyFill="1" applyBorder="1" applyAlignment="1">
      <alignment horizontal="center"/>
    </xf>
    <xf numFmtId="166" fontId="47" fillId="29" borderId="42" xfId="0" applyNumberFormat="1" applyFont="1" applyFill="1" applyBorder="1" applyAlignment="1">
      <alignment horizontal="right"/>
    </xf>
    <xf numFmtId="182" fontId="47" fillId="29" borderId="42" xfId="0" applyNumberFormat="1" applyFont="1" applyFill="1" applyBorder="1" applyAlignment="1">
      <alignment horizontal="right"/>
    </xf>
    <xf numFmtId="166" fontId="1" fillId="32" borderId="37" xfId="0" applyNumberFormat="1" applyFont="1" applyFill="1" applyBorder="1" applyAlignment="1">
      <alignment horizontal="center"/>
    </xf>
    <xf numFmtId="166" fontId="47" fillId="29" borderId="39" xfId="0" applyNumberFormat="1" applyFont="1" applyFill="1" applyBorder="1" applyAlignment="1">
      <alignment horizontal="right"/>
    </xf>
    <xf numFmtId="166" fontId="47" fillId="29" borderId="0" xfId="0" applyNumberFormat="1" applyFont="1" applyFill="1"/>
    <xf numFmtId="166" fontId="47" fillId="33" borderId="10" xfId="0" applyNumberFormat="1" applyFont="1" applyFill="1" applyBorder="1" applyAlignment="1">
      <alignment horizontal="center"/>
    </xf>
    <xf numFmtId="166" fontId="47" fillId="33" borderId="37" xfId="0" applyNumberFormat="1" applyFont="1" applyFill="1" applyBorder="1" applyAlignment="1">
      <alignment horizontal="center"/>
    </xf>
    <xf numFmtId="166" fontId="47" fillId="33" borderId="30" xfId="0" applyNumberFormat="1" applyFont="1" applyFill="1" applyBorder="1" applyAlignment="1">
      <alignment horizontal="center"/>
    </xf>
    <xf numFmtId="166" fontId="47" fillId="33" borderId="26" xfId="0" applyNumberFormat="1" applyFont="1" applyFill="1" applyBorder="1" applyAlignment="1">
      <alignment horizontal="center"/>
    </xf>
    <xf numFmtId="166" fontId="47" fillId="29" borderId="0" xfId="0" applyNumberFormat="1" applyFont="1" applyFill="1" applyAlignment="1">
      <alignment horizontal="center"/>
    </xf>
    <xf numFmtId="166" fontId="47" fillId="27" borderId="10" xfId="0" applyNumberFormat="1" applyFont="1" applyFill="1" applyBorder="1" applyAlignment="1">
      <alignment horizontal="center"/>
    </xf>
    <xf numFmtId="166" fontId="47" fillId="27" borderId="37" xfId="0" applyNumberFormat="1" applyFont="1" applyFill="1" applyBorder="1" applyAlignment="1">
      <alignment horizontal="center"/>
    </xf>
    <xf numFmtId="166" fontId="47" fillId="27" borderId="30" xfId="0" applyNumberFormat="1" applyFont="1" applyFill="1" applyBorder="1" applyAlignment="1">
      <alignment horizontal="center"/>
    </xf>
    <xf numFmtId="166" fontId="47" fillId="27" borderId="26" xfId="0" applyNumberFormat="1" applyFont="1" applyFill="1" applyBorder="1" applyAlignment="1">
      <alignment horizontal="center"/>
    </xf>
    <xf numFmtId="166" fontId="1" fillId="16" borderId="30" xfId="0" applyNumberFormat="1" applyFont="1" applyFill="1" applyBorder="1" applyAlignment="1">
      <alignment horizontal="center"/>
    </xf>
    <xf numFmtId="166" fontId="1" fillId="32" borderId="30" xfId="0" applyNumberFormat="1" applyFont="1" applyFill="1" applyBorder="1" applyAlignment="1">
      <alignment horizontal="center"/>
    </xf>
    <xf numFmtId="191" fontId="45" fillId="29" borderId="13" xfId="0" applyFont="1" applyFill="1" applyBorder="1" applyAlignment="1">
      <alignment horizontal="left" indent="1"/>
    </xf>
    <xf numFmtId="44" fontId="47" fillId="29" borderId="13" xfId="0" applyNumberFormat="1" applyFont="1" applyFill="1" applyBorder="1" applyAlignment="1">
      <alignment horizontal="center"/>
    </xf>
    <xf numFmtId="182" fontId="47" fillId="29" borderId="39" xfId="0" applyNumberFormat="1" applyFont="1" applyFill="1" applyBorder="1" applyAlignment="1">
      <alignment horizontal="right"/>
    </xf>
    <xf numFmtId="166" fontId="47" fillId="11" borderId="30" xfId="0" applyNumberFormat="1" applyFont="1" applyFill="1" applyBorder="1" applyAlignment="1">
      <alignment horizontal="center"/>
    </xf>
    <xf numFmtId="44" fontId="59" fillId="52" borderId="28" xfId="0" applyNumberFormat="1" applyFont="1" applyFill="1" applyBorder="1" applyAlignment="1">
      <alignment horizontal="center"/>
    </xf>
    <xf numFmtId="44" fontId="59" fillId="52" borderId="11" xfId="0" applyNumberFormat="1" applyFont="1" applyFill="1" applyBorder="1" applyAlignment="1">
      <alignment horizontal="center"/>
    </xf>
    <xf numFmtId="182" fontId="59" fillId="52" borderId="21" xfId="0" applyNumberFormat="1" applyFont="1" applyFill="1" applyBorder="1" applyAlignment="1">
      <alignment horizontal="right"/>
    </xf>
    <xf numFmtId="182" fontId="59" fillId="52" borderId="22" xfId="0" applyNumberFormat="1" applyFont="1" applyFill="1" applyBorder="1" applyAlignment="1">
      <alignment horizontal="right"/>
    </xf>
    <xf numFmtId="182" fontId="59" fillId="52" borderId="23" xfId="0" applyNumberFormat="1" applyFont="1" applyFill="1" applyBorder="1" applyAlignment="1">
      <alignment horizontal="right"/>
    </xf>
    <xf numFmtId="182" fontId="59" fillId="52" borderId="24" xfId="0" applyNumberFormat="1" applyFont="1" applyFill="1" applyBorder="1" applyAlignment="1">
      <alignment horizontal="right"/>
    </xf>
    <xf numFmtId="166" fontId="59" fillId="52" borderId="0" xfId="0" applyNumberFormat="1" applyFont="1" applyFill="1" applyBorder="1" applyAlignment="1">
      <alignment horizontal="right"/>
    </xf>
    <xf numFmtId="166" fontId="59" fillId="52" borderId="25" xfId="0" applyNumberFormat="1" applyFont="1" applyFill="1" applyBorder="1" applyAlignment="1">
      <alignment horizontal="right"/>
    </xf>
    <xf numFmtId="182" fontId="59" fillId="52" borderId="0" xfId="0" applyNumberFormat="1" applyFont="1" applyFill="1" applyBorder="1" applyAlignment="1">
      <alignment horizontal="right"/>
    </xf>
    <xf numFmtId="166" fontId="59" fillId="52" borderId="24" xfId="0" applyNumberFormat="1" applyFont="1" applyFill="1" applyBorder="1" applyAlignment="1">
      <alignment horizontal="right"/>
    </xf>
    <xf numFmtId="182" fontId="59" fillId="52" borderId="24" xfId="28" applyNumberFormat="1" applyFont="1" applyFill="1" applyBorder="1" applyAlignment="1">
      <alignment horizontal="right"/>
    </xf>
    <xf numFmtId="166" fontId="59" fillId="52" borderId="0" xfId="28" applyFont="1" applyFill="1" applyBorder="1" applyAlignment="1">
      <alignment horizontal="right"/>
    </xf>
    <xf numFmtId="182" fontId="59" fillId="52" borderId="0" xfId="28" applyNumberFormat="1" applyFont="1" applyFill="1" applyBorder="1" applyAlignment="1">
      <alignment horizontal="right"/>
    </xf>
    <xf numFmtId="166" fontId="59" fillId="52" borderId="25" xfId="28" applyFont="1" applyFill="1" applyBorder="1" applyAlignment="1">
      <alignment horizontal="right"/>
    </xf>
    <xf numFmtId="44" fontId="59" fillId="53" borderId="28" xfId="0" applyNumberFormat="1" applyFont="1" applyFill="1" applyBorder="1" applyAlignment="1">
      <alignment horizontal="center"/>
    </xf>
    <xf numFmtId="44" fontId="59" fillId="53" borderId="11" xfId="0" applyNumberFormat="1" applyFont="1" applyFill="1" applyBorder="1" applyAlignment="1">
      <alignment horizontal="center"/>
    </xf>
    <xf numFmtId="44" fontId="59" fillId="53" borderId="21" xfId="0" applyNumberFormat="1" applyFont="1" applyFill="1" applyBorder="1" applyAlignment="1">
      <alignment horizontal="right"/>
    </xf>
    <xf numFmtId="44" fontId="59" fillId="53" borderId="22" xfId="0" applyNumberFormat="1" applyFont="1" applyFill="1" applyBorder="1" applyAlignment="1">
      <alignment horizontal="right"/>
    </xf>
    <xf numFmtId="44" fontId="59" fillId="53" borderId="23" xfId="0" applyNumberFormat="1" applyFont="1" applyFill="1" applyBorder="1" applyAlignment="1">
      <alignment horizontal="right"/>
    </xf>
    <xf numFmtId="166" fontId="59" fillId="53" borderId="0" xfId="0" applyNumberFormat="1" applyFont="1" applyFill="1" applyBorder="1" applyAlignment="1">
      <alignment horizontal="right"/>
    </xf>
    <xf numFmtId="166" fontId="59" fillId="53" borderId="25" xfId="0" applyNumberFormat="1" applyFont="1" applyFill="1" applyBorder="1" applyAlignment="1">
      <alignment horizontal="right"/>
    </xf>
    <xf numFmtId="44" fontId="59" fillId="53" borderId="24" xfId="0" applyNumberFormat="1" applyFont="1" applyFill="1" applyBorder="1" applyAlignment="1">
      <alignment horizontal="right"/>
    </xf>
    <xf numFmtId="44" fontId="59" fillId="53" borderId="0" xfId="0" applyNumberFormat="1" applyFont="1" applyFill="1" applyBorder="1" applyAlignment="1">
      <alignment horizontal="right"/>
    </xf>
    <xf numFmtId="182" fontId="59" fillId="53" borderId="24" xfId="0" applyNumberFormat="1" applyFont="1" applyFill="1" applyBorder="1" applyAlignment="1">
      <alignment horizontal="right"/>
    </xf>
    <xf numFmtId="182" fontId="59" fillId="53" borderId="0" xfId="0" applyNumberFormat="1" applyFont="1" applyFill="1" applyBorder="1" applyAlignment="1">
      <alignment horizontal="right"/>
    </xf>
    <xf numFmtId="182" fontId="59" fillId="53" borderId="25" xfId="0" applyNumberFormat="1" applyFont="1" applyFill="1" applyBorder="1" applyAlignment="1">
      <alignment horizontal="right"/>
    </xf>
    <xf numFmtId="166" fontId="59" fillId="53" borderId="21" xfId="0" applyNumberFormat="1" applyFont="1" applyFill="1" applyBorder="1" applyAlignment="1">
      <alignment horizontal="right"/>
    </xf>
    <xf numFmtId="166" fontId="59" fillId="53" borderId="22" xfId="0" applyNumberFormat="1" applyFont="1" applyFill="1" applyBorder="1" applyAlignment="1">
      <alignment horizontal="right"/>
    </xf>
    <xf numFmtId="166" fontId="59" fillId="53" borderId="23" xfId="0" applyNumberFormat="1" applyFont="1" applyFill="1" applyBorder="1" applyAlignment="1">
      <alignment horizontal="right"/>
    </xf>
    <xf numFmtId="166" fontId="59" fillId="53" borderId="24" xfId="0" applyNumberFormat="1" applyFont="1" applyFill="1" applyBorder="1" applyAlignment="1">
      <alignment horizontal="right"/>
    </xf>
    <xf numFmtId="191" fontId="45" fillId="27" borderId="37" xfId="29" applyNumberFormat="1" applyFont="1" applyFill="1" applyBorder="1" applyProtection="1">
      <protection hidden="1"/>
    </xf>
    <xf numFmtId="191" fontId="47" fillId="29" borderId="37" xfId="29" applyNumberFormat="1" applyFont="1" applyFill="1" applyBorder="1" applyProtection="1">
      <protection hidden="1"/>
    </xf>
    <xf numFmtId="166" fontId="47" fillId="29" borderId="37" xfId="29" applyNumberFormat="1" applyFont="1" applyFill="1" applyBorder="1" applyProtection="1">
      <protection hidden="1"/>
    </xf>
    <xf numFmtId="191" fontId="45" fillId="11" borderId="10" xfId="29" applyNumberFormat="1" applyFont="1" applyFill="1" applyBorder="1" applyProtection="1">
      <protection hidden="1"/>
    </xf>
    <xf numFmtId="191" fontId="45" fillId="9" borderId="37" xfId="29" applyNumberFormat="1" applyFont="1" applyFill="1" applyBorder="1" applyProtection="1">
      <protection hidden="1"/>
    </xf>
    <xf numFmtId="166" fontId="47" fillId="9" borderId="37" xfId="29" applyNumberFormat="1" applyFont="1" applyFill="1" applyBorder="1" applyProtection="1">
      <protection hidden="1"/>
    </xf>
    <xf numFmtId="191" fontId="47" fillId="29" borderId="39" xfId="29" applyNumberFormat="1" applyFont="1" applyFill="1" applyBorder="1" applyProtection="1">
      <protection hidden="1"/>
    </xf>
    <xf numFmtId="191" fontId="47" fillId="29" borderId="42" xfId="29" applyNumberFormat="1" applyFont="1" applyFill="1" applyBorder="1" applyProtection="1">
      <protection hidden="1"/>
    </xf>
    <xf numFmtId="180" fontId="47" fillId="29" borderId="13" xfId="1" applyNumberFormat="1" applyFont="1" applyFill="1" applyBorder="1" applyProtection="1">
      <protection hidden="1"/>
    </xf>
    <xf numFmtId="191" fontId="46" fillId="34" borderId="37" xfId="0" applyNumberFormat="1" applyFont="1" applyFill="1" applyBorder="1" applyProtection="1">
      <protection hidden="1"/>
    </xf>
    <xf numFmtId="184" fontId="47" fillId="29" borderId="0" xfId="0" applyNumberFormat="1" applyFont="1" applyFill="1" applyBorder="1"/>
    <xf numFmtId="191" fontId="45" fillId="11" borderId="10" xfId="0" applyNumberFormat="1" applyFont="1" applyFill="1" applyBorder="1" applyProtection="1">
      <protection hidden="1"/>
    </xf>
    <xf numFmtId="191" fontId="46" fillId="14" borderId="10" xfId="0" applyNumberFormat="1" applyFont="1" applyFill="1" applyBorder="1" applyProtection="1">
      <protection hidden="1"/>
    </xf>
    <xf numFmtId="191" fontId="47" fillId="5" borderId="10" xfId="0" applyNumberFormat="1" applyFont="1" applyFill="1" applyBorder="1" applyProtection="1">
      <protection hidden="1"/>
    </xf>
    <xf numFmtId="191" fontId="45" fillId="27" borderId="10" xfId="0" applyNumberFormat="1" applyFont="1" applyFill="1" applyBorder="1" applyProtection="1">
      <protection hidden="1"/>
    </xf>
    <xf numFmtId="191" fontId="47" fillId="26" borderId="26" xfId="0" applyFont="1" applyFill="1" applyBorder="1"/>
    <xf numFmtId="191" fontId="47" fillId="26" borderId="37" xfId="0" applyFont="1" applyFill="1" applyBorder="1"/>
    <xf numFmtId="166" fontId="47" fillId="26" borderId="37" xfId="0" applyNumberFormat="1" applyFont="1" applyFill="1" applyBorder="1"/>
    <xf numFmtId="166" fontId="47" fillId="26" borderId="30" xfId="0" applyNumberFormat="1" applyFont="1" applyFill="1" applyBorder="1"/>
    <xf numFmtId="166" fontId="45" fillId="11" borderId="10" xfId="29" applyNumberFormat="1" applyFont="1" applyFill="1" applyBorder="1" applyProtection="1">
      <protection hidden="1"/>
    </xf>
    <xf numFmtId="166" fontId="46" fillId="14" borderId="10" xfId="0" applyNumberFormat="1" applyFont="1" applyFill="1" applyBorder="1" applyProtection="1">
      <protection hidden="1"/>
    </xf>
    <xf numFmtId="166" fontId="47" fillId="5" borderId="10" xfId="29" applyNumberFormat="1" applyFont="1" applyFill="1" applyBorder="1" applyProtection="1">
      <protection hidden="1"/>
    </xf>
    <xf numFmtId="166" fontId="45" fillId="27" borderId="10" xfId="29" applyNumberFormat="1" applyFont="1" applyFill="1" applyBorder="1" applyProtection="1">
      <protection hidden="1"/>
    </xf>
    <xf numFmtId="166" fontId="47" fillId="29" borderId="39" xfId="29" applyNumberFormat="1" applyFont="1" applyFill="1" applyBorder="1" applyProtection="1">
      <protection hidden="1"/>
    </xf>
    <xf numFmtId="191" fontId="47" fillId="29" borderId="13" xfId="29" applyNumberFormat="1" applyFont="1" applyFill="1" applyBorder="1" applyProtection="1">
      <protection hidden="1"/>
    </xf>
    <xf numFmtId="166" fontId="47" fillId="29" borderId="13" xfId="29" applyNumberFormat="1" applyFont="1" applyFill="1" applyBorder="1" applyProtection="1">
      <protection hidden="1"/>
    </xf>
    <xf numFmtId="166" fontId="47" fillId="29" borderId="42" xfId="29" applyNumberFormat="1" applyFont="1" applyFill="1" applyBorder="1" applyProtection="1">
      <protection hidden="1"/>
    </xf>
    <xf numFmtId="166" fontId="47" fillId="29" borderId="13" xfId="1" applyNumberFormat="1" applyFont="1" applyFill="1" applyBorder="1" applyProtection="1">
      <protection hidden="1"/>
    </xf>
    <xf numFmtId="9" fontId="47" fillId="29" borderId="13" xfId="1" applyFont="1" applyFill="1" applyBorder="1" applyProtection="1">
      <protection hidden="1"/>
    </xf>
    <xf numFmtId="166" fontId="47" fillId="29" borderId="39" xfId="29" quotePrefix="1" applyNumberFormat="1" applyFont="1" applyFill="1" applyBorder="1" applyProtection="1">
      <protection hidden="1"/>
    </xf>
    <xf numFmtId="166" fontId="47" fillId="29" borderId="13" xfId="29" quotePrefix="1" applyNumberFormat="1" applyFont="1" applyFill="1" applyBorder="1" applyProtection="1">
      <protection hidden="1"/>
    </xf>
    <xf numFmtId="191" fontId="45" fillId="11" borderId="39" xfId="0" applyNumberFormat="1" applyFont="1" applyFill="1" applyBorder="1" applyProtection="1">
      <protection hidden="1"/>
    </xf>
    <xf numFmtId="166" fontId="45" fillId="11" borderId="39" xfId="29" applyNumberFormat="1" applyFont="1" applyFill="1" applyBorder="1" applyProtection="1">
      <protection hidden="1"/>
    </xf>
    <xf numFmtId="191" fontId="47" fillId="29" borderId="37" xfId="0" applyNumberFormat="1" applyFont="1" applyFill="1" applyBorder="1" applyProtection="1">
      <protection hidden="1"/>
    </xf>
    <xf numFmtId="166" fontId="47" fillId="29" borderId="37" xfId="0" applyNumberFormat="1" applyFont="1" applyFill="1" applyBorder="1" applyProtection="1">
      <protection hidden="1"/>
    </xf>
    <xf numFmtId="191" fontId="59" fillId="29" borderId="37" xfId="29" applyNumberFormat="1" applyFont="1" applyFill="1" applyBorder="1" applyProtection="1">
      <protection hidden="1"/>
    </xf>
    <xf numFmtId="166" fontId="59" fillId="29" borderId="37" xfId="29" applyNumberFormat="1" applyFont="1" applyFill="1" applyBorder="1" applyProtection="1">
      <protection hidden="1"/>
    </xf>
    <xf numFmtId="191" fontId="45" fillId="27" borderId="26" xfId="29" applyNumberFormat="1" applyFont="1" applyFill="1" applyBorder="1" applyProtection="1">
      <protection hidden="1"/>
    </xf>
    <xf numFmtId="10" fontId="47" fillId="27" borderId="37" xfId="1" applyNumberFormat="1" applyFont="1" applyFill="1" applyBorder="1" applyProtection="1">
      <protection hidden="1"/>
    </xf>
    <xf numFmtId="10" fontId="47" fillId="27" borderId="30" xfId="1" applyNumberFormat="1" applyFont="1" applyFill="1" applyBorder="1" applyProtection="1">
      <protection hidden="1"/>
    </xf>
    <xf numFmtId="191" fontId="45" fillId="9" borderId="26" xfId="29" applyNumberFormat="1" applyFont="1" applyFill="1" applyBorder="1" applyProtection="1">
      <protection hidden="1"/>
    </xf>
    <xf numFmtId="166" fontId="47" fillId="9" borderId="37" xfId="1" applyNumberFormat="1" applyFont="1" applyFill="1" applyBorder="1" applyProtection="1">
      <protection hidden="1"/>
    </xf>
    <xf numFmtId="166" fontId="47" fillId="9" borderId="30" xfId="1" applyNumberFormat="1" applyFont="1" applyFill="1" applyBorder="1" applyProtection="1">
      <protection hidden="1"/>
    </xf>
    <xf numFmtId="191" fontId="46" fillId="34" borderId="26" xfId="0" applyNumberFormat="1" applyFont="1" applyFill="1" applyBorder="1" applyProtection="1">
      <protection hidden="1"/>
    </xf>
    <xf numFmtId="166" fontId="1" fillId="34" borderId="37" xfId="0" applyNumberFormat="1" applyFont="1" applyFill="1" applyBorder="1" applyProtection="1">
      <protection hidden="1"/>
    </xf>
    <xf numFmtId="166" fontId="1" fillId="34" borderId="37" xfId="1" applyNumberFormat="1" applyFont="1" applyFill="1" applyBorder="1" applyProtection="1">
      <protection hidden="1"/>
    </xf>
    <xf numFmtId="166" fontId="1" fillId="34" borderId="30" xfId="1" applyNumberFormat="1" applyFont="1" applyFill="1" applyBorder="1" applyProtection="1">
      <protection hidden="1"/>
    </xf>
    <xf numFmtId="191" fontId="47" fillId="33" borderId="39" xfId="0" applyNumberFormat="1" applyFont="1" applyFill="1" applyBorder="1" applyProtection="1">
      <protection hidden="1"/>
    </xf>
    <xf numFmtId="166" fontId="47" fillId="33" borderId="39" xfId="29" applyNumberFormat="1" applyFont="1" applyFill="1" applyBorder="1" applyProtection="1">
      <protection hidden="1"/>
    </xf>
    <xf numFmtId="191" fontId="47" fillId="33" borderId="42" xfId="0" applyNumberFormat="1" applyFont="1" applyFill="1" applyBorder="1" applyProtection="1">
      <protection hidden="1"/>
    </xf>
    <xf numFmtId="166" fontId="47" fillId="33" borderId="42" xfId="29" applyNumberFormat="1" applyFont="1" applyFill="1" applyBorder="1" applyProtection="1">
      <protection hidden="1"/>
    </xf>
    <xf numFmtId="184" fontId="1" fillId="29" borderId="0" xfId="0" applyNumberFormat="1" applyFont="1" applyFill="1"/>
    <xf numFmtId="191" fontId="47" fillId="29" borderId="45" xfId="0" applyNumberFormat="1" applyFont="1" applyFill="1" applyBorder="1" applyProtection="1">
      <protection hidden="1"/>
    </xf>
    <xf numFmtId="191" fontId="47" fillId="29" borderId="46" xfId="0" applyNumberFormat="1" applyFont="1" applyFill="1" applyBorder="1" applyProtection="1">
      <protection hidden="1"/>
    </xf>
    <xf numFmtId="191" fontId="45" fillId="11" borderId="91" xfId="0" applyNumberFormat="1" applyFont="1" applyFill="1" applyBorder="1" applyProtection="1">
      <protection hidden="1"/>
    </xf>
    <xf numFmtId="1" fontId="15" fillId="28" borderId="21" xfId="0" applyNumberFormat="1" applyFont="1" applyFill="1" applyBorder="1" applyAlignment="1">
      <alignment horizontal="center"/>
    </xf>
    <xf numFmtId="1" fontId="15" fillId="28" borderId="22" xfId="0" applyNumberFormat="1" applyFont="1" applyFill="1" applyBorder="1" applyAlignment="1">
      <alignment horizontal="center"/>
    </xf>
    <xf numFmtId="1" fontId="15" fillId="28" borderId="23" xfId="0" applyNumberFormat="1" applyFont="1" applyFill="1" applyBorder="1" applyAlignment="1">
      <alignment horizontal="center"/>
    </xf>
    <xf numFmtId="165" fontId="47" fillId="29" borderId="0" xfId="0" applyNumberFormat="1" applyFont="1" applyFill="1"/>
    <xf numFmtId="1" fontId="47" fillId="29" borderId="0" xfId="0" applyNumberFormat="1" applyFont="1" applyFill="1"/>
    <xf numFmtId="191" fontId="15" fillId="5" borderId="10" xfId="0" applyFont="1" applyFill="1" applyBorder="1"/>
    <xf numFmtId="1" fontId="15" fillId="29" borderId="39" xfId="0" applyNumberFormat="1" applyFont="1" applyFill="1" applyBorder="1" applyAlignment="1">
      <alignment horizontal="center"/>
    </xf>
    <xf numFmtId="1" fontId="15" fillId="29" borderId="42" xfId="0" applyNumberFormat="1" applyFont="1" applyFill="1" applyBorder="1" applyAlignment="1">
      <alignment horizontal="center"/>
    </xf>
    <xf numFmtId="1" fontId="15" fillId="29" borderId="13" xfId="0" applyNumberFormat="1" applyFont="1" applyFill="1" applyBorder="1" applyAlignment="1">
      <alignment horizontal="center"/>
    </xf>
    <xf numFmtId="191" fontId="15" fillId="5" borderId="10" xfId="0" applyFont="1" applyFill="1" applyBorder="1" applyAlignment="1">
      <alignment horizontal="center"/>
    </xf>
    <xf numFmtId="191" fontId="15" fillId="11" borderId="10" xfId="0" applyFont="1" applyFill="1" applyBorder="1" applyAlignment="1">
      <alignment horizontal="center"/>
    </xf>
    <xf numFmtId="9" fontId="15" fillId="5" borderId="10" xfId="1" applyFont="1" applyFill="1" applyBorder="1"/>
    <xf numFmtId="9" fontId="15" fillId="29" borderId="39" xfId="1" applyFont="1" applyFill="1" applyBorder="1" applyAlignment="1">
      <alignment horizontal="center"/>
    </xf>
    <xf numFmtId="9" fontId="15" fillId="29" borderId="42" xfId="1" applyFont="1" applyFill="1" applyBorder="1" applyAlignment="1">
      <alignment horizontal="center"/>
    </xf>
    <xf numFmtId="9" fontId="15" fillId="29" borderId="13" xfId="1" applyFont="1" applyFill="1" applyBorder="1" applyAlignment="1">
      <alignment horizontal="center"/>
    </xf>
    <xf numFmtId="9" fontId="15" fillId="5" borderId="10" xfId="1" applyFont="1" applyFill="1" applyBorder="1" applyAlignment="1">
      <alignment horizontal="center"/>
    </xf>
    <xf numFmtId="191" fontId="4" fillId="37" borderId="28" xfId="0" applyFont="1" applyFill="1" applyBorder="1"/>
    <xf numFmtId="2" fontId="4" fillId="37" borderId="29" xfId="29" applyNumberFormat="1" applyFont="1" applyFill="1" applyBorder="1"/>
    <xf numFmtId="191" fontId="4" fillId="29" borderId="0" xfId="0" applyFont="1" applyFill="1" applyBorder="1" applyAlignment="1">
      <alignment horizontal="right"/>
    </xf>
    <xf numFmtId="191" fontId="0" fillId="29" borderId="0" xfId="0" applyFill="1" applyBorder="1" applyAlignment="1">
      <alignment horizontal="right"/>
    </xf>
    <xf numFmtId="187" fontId="15" fillId="23" borderId="1" xfId="0" applyNumberFormat="1" applyFont="1" applyFill="1" applyBorder="1" applyAlignment="1">
      <alignment horizontal="center"/>
    </xf>
    <xf numFmtId="2" fontId="15" fillId="23" borderId="1" xfId="0" applyNumberFormat="1" applyFont="1" applyFill="1" applyBorder="1" applyAlignment="1">
      <alignment horizontal="center"/>
    </xf>
    <xf numFmtId="187" fontId="44" fillId="45" borderId="1" xfId="0" applyNumberFormat="1" applyFont="1" applyFill="1" applyBorder="1" applyAlignment="1">
      <alignment horizontal="center"/>
    </xf>
    <xf numFmtId="2" fontId="44" fillId="45" borderId="1" xfId="0" applyNumberFormat="1" applyFont="1" applyFill="1" applyBorder="1" applyAlignment="1">
      <alignment horizontal="center"/>
    </xf>
    <xf numFmtId="191" fontId="15" fillId="11" borderId="13" xfId="0" applyFont="1" applyFill="1" applyBorder="1" applyAlignment="1">
      <alignment horizontal="center"/>
    </xf>
    <xf numFmtId="44" fontId="10" fillId="46" borderId="56" xfId="0" applyNumberFormat="1" applyFont="1" applyFill="1" applyBorder="1" applyAlignment="1">
      <alignment horizontal="center"/>
    </xf>
    <xf numFmtId="191" fontId="15" fillId="31" borderId="21" xfId="0" applyFont="1" applyFill="1" applyBorder="1"/>
    <xf numFmtId="191" fontId="15" fillId="31" borderId="22" xfId="0" applyFont="1" applyFill="1" applyBorder="1" applyAlignment="1">
      <alignment horizontal="center"/>
    </xf>
    <xf numFmtId="1" fontId="15" fillId="38" borderId="59" xfId="0" applyNumberFormat="1" applyFont="1" applyFill="1" applyBorder="1" applyAlignment="1">
      <alignment horizontal="center"/>
    </xf>
    <xf numFmtId="1" fontId="15" fillId="38" borderId="96" xfId="0" applyNumberFormat="1" applyFont="1" applyFill="1" applyBorder="1" applyAlignment="1">
      <alignment horizontal="center"/>
    </xf>
    <xf numFmtId="1" fontId="15" fillId="38" borderId="97" xfId="0" applyNumberFormat="1" applyFont="1" applyFill="1" applyBorder="1" applyAlignment="1">
      <alignment horizontal="center"/>
    </xf>
    <xf numFmtId="1" fontId="15" fillId="38" borderId="89" xfId="0" applyNumberFormat="1" applyFont="1" applyFill="1" applyBorder="1" applyAlignment="1">
      <alignment horizontal="center"/>
    </xf>
    <xf numFmtId="191" fontId="15" fillId="38" borderId="24" xfId="0" applyFont="1" applyFill="1" applyBorder="1"/>
    <xf numFmtId="191" fontId="15" fillId="38" borderId="0" xfId="0" applyFont="1" applyFill="1" applyBorder="1" applyAlignment="1">
      <alignment horizontal="center"/>
    </xf>
    <xf numFmtId="2" fontId="15" fillId="23" borderId="56" xfId="0" applyNumberFormat="1" applyFont="1" applyFill="1" applyBorder="1" applyAlignment="1">
      <alignment horizontal="center"/>
    </xf>
    <xf numFmtId="191" fontId="15" fillId="38" borderId="28" xfId="0" applyFont="1" applyFill="1" applyBorder="1"/>
    <xf numFmtId="191" fontId="15" fillId="38" borderId="11" xfId="0" applyFont="1" applyFill="1" applyBorder="1" applyAlignment="1">
      <alignment horizontal="center"/>
    </xf>
    <xf numFmtId="44" fontId="15" fillId="23" borderId="62" xfId="0" applyNumberFormat="1" applyFont="1" applyFill="1" applyBorder="1" applyAlignment="1">
      <alignment horizontal="center"/>
    </xf>
    <xf numFmtId="44" fontId="15" fillId="23" borderId="64" xfId="0" applyNumberFormat="1" applyFont="1" applyFill="1" applyBorder="1" applyAlignment="1">
      <alignment horizontal="center"/>
    </xf>
    <xf numFmtId="190" fontId="0" fillId="0" borderId="0" xfId="29" applyNumberFormat="1" applyFont="1" applyAlignment="1">
      <alignment horizontal="center" vertical="center" wrapText="1"/>
    </xf>
    <xf numFmtId="191" fontId="4" fillId="26" borderId="28" xfId="0" applyFont="1" applyFill="1" applyBorder="1" applyAlignment="1">
      <alignment vertical="top" wrapText="1"/>
    </xf>
    <xf numFmtId="44" fontId="47" fillId="29" borderId="25" xfId="0" applyNumberFormat="1" applyFont="1" applyFill="1" applyBorder="1" applyAlignment="1">
      <alignment horizontal="right"/>
    </xf>
    <xf numFmtId="44" fontId="47" fillId="29" borderId="29" xfId="0" applyNumberFormat="1" applyFont="1" applyFill="1" applyBorder="1" applyAlignment="1">
      <alignment horizontal="right"/>
    </xf>
    <xf numFmtId="44" fontId="47" fillId="29" borderId="25" xfId="0" applyNumberFormat="1" applyFont="1" applyFill="1" applyBorder="1"/>
    <xf numFmtId="44" fontId="47" fillId="43" borderId="30" xfId="0" applyNumberFormat="1" applyFont="1" applyFill="1" applyBorder="1"/>
    <xf numFmtId="191" fontId="4" fillId="26" borderId="24" xfId="0" applyFont="1" applyFill="1" applyBorder="1" applyAlignment="1">
      <alignment vertical="top" wrapText="1"/>
    </xf>
    <xf numFmtId="191" fontId="40" fillId="2" borderId="0" xfId="0" applyFont="1" applyFill="1" applyBorder="1" applyAlignment="1" applyProtection="1">
      <alignment horizontal="center" vertical="center" wrapText="1"/>
      <protection locked="0" hidden="1"/>
    </xf>
    <xf numFmtId="191" fontId="22" fillId="14" borderId="39" xfId="4" applyFont="1" applyFill="1" applyBorder="1" applyAlignment="1">
      <alignment horizontal="center"/>
    </xf>
    <xf numFmtId="178" fontId="4" fillId="29" borderId="42" xfId="0" applyNumberFormat="1" applyFont="1" applyFill="1" applyBorder="1" applyAlignment="1">
      <alignment horizontal="center"/>
    </xf>
    <xf numFmtId="189" fontId="4" fillId="29" borderId="42" xfId="0" applyNumberFormat="1" applyFont="1" applyFill="1" applyBorder="1" applyAlignment="1">
      <alignment horizontal="center"/>
    </xf>
    <xf numFmtId="2" fontId="4" fillId="29" borderId="42" xfId="0" applyNumberFormat="1" applyFont="1" applyFill="1" applyBorder="1" applyAlignment="1">
      <alignment horizontal="center"/>
    </xf>
    <xf numFmtId="0" fontId="52" fillId="29" borderId="0" xfId="38" applyFont="1" applyFill="1"/>
    <xf numFmtId="191" fontId="0" fillId="24" borderId="0" xfId="0" applyFill="1"/>
    <xf numFmtId="191" fontId="22" fillId="55" borderId="0" xfId="0" applyFont="1" applyFill="1"/>
    <xf numFmtId="191" fontId="0" fillId="55" borderId="0" xfId="0" applyFill="1"/>
    <xf numFmtId="191" fontId="0" fillId="55" borderId="1" xfId="0" applyFont="1" applyFill="1" applyBorder="1"/>
    <xf numFmtId="191" fontId="4" fillId="55" borderId="1" xfId="0" applyFont="1" applyFill="1" applyBorder="1"/>
    <xf numFmtId="191" fontId="0" fillId="29" borderId="1" xfId="0" applyFill="1" applyBorder="1"/>
    <xf numFmtId="191" fontId="4" fillId="29" borderId="1" xfId="0" applyFont="1" applyFill="1" applyBorder="1"/>
    <xf numFmtId="44" fontId="4" fillId="29" borderId="1" xfId="0" applyNumberFormat="1" applyFont="1" applyFill="1" applyBorder="1"/>
    <xf numFmtId="191" fontId="4" fillId="32" borderId="1" xfId="0" applyFont="1" applyFill="1" applyBorder="1"/>
    <xf numFmtId="191" fontId="4" fillId="54" borderId="1" xfId="0" applyFont="1" applyFill="1" applyBorder="1"/>
    <xf numFmtId="191" fontId="0" fillId="29" borderId="1" xfId="0" applyFill="1" applyBorder="1" applyAlignment="1">
      <alignment horizontal="center"/>
    </xf>
    <xf numFmtId="2" fontId="4" fillId="29" borderId="1" xfId="0" applyNumberFormat="1" applyFont="1" applyFill="1" applyBorder="1" applyAlignment="1">
      <alignment horizontal="center"/>
    </xf>
    <xf numFmtId="191" fontId="4" fillId="29" borderId="1" xfId="0" applyFont="1" applyFill="1" applyBorder="1" applyAlignment="1">
      <alignment horizontal="center"/>
    </xf>
    <xf numFmtId="191" fontId="4" fillId="55" borderId="1" xfId="0" applyFont="1" applyFill="1" applyBorder="1" applyAlignment="1">
      <alignment horizontal="center"/>
    </xf>
    <xf numFmtId="2" fontId="0" fillId="55" borderId="1" xfId="0" applyNumberFormat="1" applyFont="1" applyFill="1" applyBorder="1" applyAlignment="1">
      <alignment horizontal="center"/>
    </xf>
    <xf numFmtId="191" fontId="0" fillId="14" borderId="26" xfId="0" applyFont="1" applyFill="1" applyBorder="1"/>
    <xf numFmtId="191" fontId="2" fillId="14" borderId="10" xfId="0" applyFont="1" applyFill="1" applyBorder="1"/>
    <xf numFmtId="191" fontId="2" fillId="14" borderId="30" xfId="0" applyFont="1" applyFill="1" applyBorder="1"/>
    <xf numFmtId="1" fontId="4" fillId="29" borderId="42" xfId="28" applyNumberFormat="1" applyFont="1" applyFill="1" applyBorder="1"/>
    <xf numFmtId="191" fontId="0" fillId="54" borderId="26" xfId="0" applyFont="1" applyFill="1" applyBorder="1"/>
    <xf numFmtId="191" fontId="2" fillId="54" borderId="10" xfId="0" applyFont="1" applyFill="1" applyBorder="1"/>
    <xf numFmtId="44" fontId="4" fillId="29" borderId="42" xfId="28" applyNumberFormat="1" applyFont="1" applyFill="1" applyBorder="1"/>
    <xf numFmtId="44" fontId="4" fillId="29" borderId="42" xfId="0" applyNumberFormat="1" applyFont="1" applyFill="1" applyBorder="1"/>
    <xf numFmtId="44" fontId="4" fillId="29" borderId="25" xfId="0" applyNumberFormat="1" applyFont="1" applyFill="1" applyBorder="1"/>
    <xf numFmtId="44" fontId="4" fillId="29" borderId="13" xfId="0" applyNumberFormat="1" applyFont="1" applyFill="1" applyBorder="1"/>
    <xf numFmtId="44" fontId="4" fillId="29" borderId="29" xfId="0" applyNumberFormat="1" applyFont="1" applyFill="1" applyBorder="1"/>
    <xf numFmtId="2" fontId="4" fillId="29" borderId="42" xfId="0" applyNumberFormat="1" applyFont="1" applyFill="1" applyBorder="1"/>
    <xf numFmtId="191" fontId="56" fillId="2" borderId="0" xfId="0" applyFont="1" applyFill="1" applyBorder="1" applyAlignment="1" applyProtection="1">
      <alignment horizontal="center" vertical="center" wrapText="1"/>
      <protection hidden="1"/>
    </xf>
    <xf numFmtId="191" fontId="0" fillId="54" borderId="30" xfId="0" applyFont="1" applyFill="1" applyBorder="1"/>
    <xf numFmtId="191" fontId="4" fillId="29" borderId="80" xfId="0" applyFont="1" applyFill="1" applyBorder="1"/>
    <xf numFmtId="191" fontId="4" fillId="29" borderId="98" xfId="0" applyFont="1" applyFill="1" applyBorder="1"/>
    <xf numFmtId="1" fontId="4" fillId="29" borderId="98" xfId="0" applyNumberFormat="1" applyFont="1" applyFill="1" applyBorder="1"/>
    <xf numFmtId="191" fontId="4" fillId="29" borderId="81" xfId="0" applyFont="1" applyFill="1" applyBorder="1"/>
    <xf numFmtId="1" fontId="4" fillId="29" borderId="1" xfId="0" applyNumberFormat="1" applyFont="1" applyFill="1" applyBorder="1" applyAlignment="1">
      <alignment horizontal="center"/>
    </xf>
    <xf numFmtId="191" fontId="22" fillId="6" borderId="11" xfId="4" applyFont="1" applyFill="1" applyBorder="1" applyAlignment="1"/>
    <xf numFmtId="193" fontId="4" fillId="29" borderId="0" xfId="0" applyNumberFormat="1" applyFont="1" applyFill="1" applyBorder="1"/>
    <xf numFmtId="191" fontId="4" fillId="11" borderId="37" xfId="0" applyFont="1" applyFill="1" applyBorder="1"/>
    <xf numFmtId="191" fontId="22" fillId="17" borderId="93" xfId="4" applyFont="1" applyFill="1" applyBorder="1" applyAlignment="1"/>
    <xf numFmtId="178" fontId="4" fillId="29" borderId="99" xfId="26" applyNumberFormat="1" applyFont="1" applyFill="1" applyBorder="1"/>
    <xf numFmtId="178" fontId="4" fillId="29" borderId="95" xfId="26" applyNumberFormat="1" applyFont="1" applyFill="1" applyBorder="1"/>
    <xf numFmtId="178" fontId="4" fillId="11" borderId="100" xfId="0" applyNumberFormat="1" applyFont="1" applyFill="1" applyBorder="1"/>
    <xf numFmtId="191" fontId="4" fillId="29" borderId="99" xfId="26" applyFont="1" applyFill="1" applyBorder="1" applyAlignment="1">
      <alignment horizontal="right"/>
    </xf>
    <xf numFmtId="191" fontId="4" fillId="29" borderId="95" xfId="26" applyFont="1" applyFill="1" applyBorder="1" applyAlignment="1">
      <alignment horizontal="right"/>
    </xf>
    <xf numFmtId="191" fontId="4" fillId="29" borderId="95" xfId="26" applyNumberFormat="1" applyFont="1" applyFill="1" applyBorder="1" applyAlignment="1">
      <alignment horizontal="right"/>
    </xf>
    <xf numFmtId="191" fontId="4" fillId="11" borderId="100" xfId="0" applyNumberFormat="1" applyFont="1" applyFill="1" applyBorder="1"/>
    <xf numFmtId="1" fontId="69" fillId="5" borderId="78" xfId="0" applyNumberFormat="1" applyFont="1" applyFill="1" applyBorder="1" applyAlignment="1">
      <alignment horizontal="center"/>
    </xf>
    <xf numFmtId="191" fontId="69" fillId="29" borderId="55" xfId="0" applyFont="1" applyFill="1" applyBorder="1"/>
    <xf numFmtId="191" fontId="69" fillId="29" borderId="1" xfId="0" applyFont="1" applyFill="1" applyBorder="1"/>
    <xf numFmtId="2" fontId="69" fillId="29" borderId="59" xfId="0" applyNumberFormat="1" applyFont="1" applyFill="1" applyBorder="1" applyAlignment="1">
      <alignment horizontal="center"/>
    </xf>
    <xf numFmtId="191" fontId="69" fillId="29" borderId="61" xfId="0" applyFont="1" applyFill="1" applyBorder="1"/>
    <xf numFmtId="191" fontId="69" fillId="29" borderId="62" xfId="0" applyFont="1" applyFill="1" applyBorder="1"/>
    <xf numFmtId="2" fontId="69" fillId="29" borderId="56" xfId="0" applyNumberFormat="1" applyFont="1" applyFill="1" applyBorder="1" applyAlignment="1">
      <alignment horizontal="center"/>
    </xf>
    <xf numFmtId="2" fontId="69" fillId="29" borderId="64" xfId="0" applyNumberFormat="1" applyFont="1" applyFill="1" applyBorder="1" applyAlignment="1">
      <alignment horizontal="center"/>
    </xf>
    <xf numFmtId="2" fontId="69" fillId="29" borderId="8" xfId="0" applyNumberFormat="1" applyFont="1" applyFill="1" applyBorder="1" applyAlignment="1">
      <alignment horizontal="center"/>
    </xf>
    <xf numFmtId="191" fontId="69" fillId="5" borderId="52" xfId="0" applyFont="1" applyFill="1" applyBorder="1" applyAlignment="1">
      <alignment horizontal="center"/>
    </xf>
    <xf numFmtId="191" fontId="45" fillId="29" borderId="0" xfId="0" applyFont="1" applyFill="1"/>
    <xf numFmtId="44" fontId="69" fillId="29" borderId="64" xfId="0" applyNumberFormat="1" applyFont="1" applyFill="1" applyBorder="1" applyAlignment="1">
      <alignment horizontal="center"/>
    </xf>
    <xf numFmtId="1" fontId="69" fillId="29" borderId="60" xfId="0" applyNumberFormat="1" applyFont="1" applyFill="1" applyBorder="1" applyAlignment="1">
      <alignment horizontal="center"/>
    </xf>
    <xf numFmtId="1" fontId="69" fillId="29" borderId="56" xfId="0" applyNumberFormat="1" applyFont="1" applyFill="1" applyBorder="1" applyAlignment="1">
      <alignment horizontal="center"/>
    </xf>
    <xf numFmtId="191" fontId="68" fillId="24" borderId="45" xfId="0" applyFont="1" applyFill="1" applyBorder="1" applyAlignment="1">
      <alignment horizontal="center"/>
    </xf>
    <xf numFmtId="191" fontId="50" fillId="24" borderId="101" xfId="0" applyFont="1" applyFill="1" applyBorder="1" applyAlignment="1">
      <alignment horizontal="center"/>
    </xf>
    <xf numFmtId="191" fontId="69" fillId="29" borderId="102" xfId="0" applyFont="1" applyFill="1" applyBorder="1"/>
    <xf numFmtId="191" fontId="69" fillId="29" borderId="103" xfId="0" applyFont="1" applyFill="1" applyBorder="1"/>
    <xf numFmtId="1" fontId="69" fillId="29" borderId="104" xfId="0" applyNumberFormat="1" applyFont="1" applyFill="1" applyBorder="1"/>
    <xf numFmtId="191" fontId="69" fillId="5" borderId="105" xfId="0" applyFont="1" applyFill="1" applyBorder="1" applyAlignment="1">
      <alignment horizontal="center" vertical="center"/>
    </xf>
    <xf numFmtId="1" fontId="69" fillId="29" borderId="106" xfId="0" applyNumberFormat="1" applyFont="1" applyFill="1" applyBorder="1"/>
    <xf numFmtId="191" fontId="69" fillId="29" borderId="107" xfId="0" applyFont="1" applyFill="1" applyBorder="1" applyAlignment="1">
      <alignment horizontal="left" vertical="center"/>
    </xf>
    <xf numFmtId="1" fontId="69" fillId="29" borderId="108" xfId="0" applyNumberFormat="1" applyFont="1" applyFill="1" applyBorder="1"/>
    <xf numFmtId="191" fontId="69" fillId="29" borderId="109" xfId="0" applyFont="1" applyFill="1" applyBorder="1" applyAlignment="1">
      <alignment horizontal="left" vertical="center"/>
    </xf>
    <xf numFmtId="191" fontId="69" fillId="29" borderId="0" xfId="0" applyFont="1" applyFill="1" applyBorder="1"/>
    <xf numFmtId="191" fontId="69" fillId="29" borderId="32" xfId="0" applyFont="1" applyFill="1" applyBorder="1"/>
    <xf numFmtId="191" fontId="69" fillId="29" borderId="110" xfId="0" applyFont="1" applyFill="1" applyBorder="1" applyAlignment="1">
      <alignment horizontal="left" vertical="center"/>
    </xf>
    <xf numFmtId="191" fontId="69" fillId="29" borderId="31" xfId="0" applyFont="1" applyFill="1" applyBorder="1" applyAlignment="1">
      <alignment horizontal="center" vertical="center"/>
    </xf>
    <xf numFmtId="191" fontId="70" fillId="29" borderId="0" xfId="0" applyFont="1" applyFill="1" applyBorder="1"/>
    <xf numFmtId="191" fontId="70" fillId="29" borderId="32" xfId="0" applyFont="1" applyFill="1" applyBorder="1"/>
    <xf numFmtId="191" fontId="47" fillId="29" borderId="33" xfId="0" applyFont="1" applyFill="1" applyBorder="1"/>
    <xf numFmtId="191" fontId="47" fillId="29" borderId="111" xfId="0" applyFont="1" applyFill="1" applyBorder="1"/>
    <xf numFmtId="191" fontId="47" fillId="29" borderId="34" xfId="0" applyFont="1" applyFill="1" applyBorder="1"/>
    <xf numFmtId="191" fontId="68" fillId="14" borderId="45" xfId="0" applyFont="1" applyFill="1" applyBorder="1" applyAlignment="1">
      <alignment horizontal="center"/>
    </xf>
    <xf numFmtId="191" fontId="50" fillId="14" borderId="101" xfId="0" applyFont="1" applyFill="1" applyBorder="1" applyAlignment="1">
      <alignment horizontal="center"/>
    </xf>
    <xf numFmtId="191" fontId="22" fillId="26" borderId="0" xfId="0" applyFont="1" applyFill="1"/>
    <xf numFmtId="191" fontId="0" fillId="26" borderId="0" xfId="0" applyFill="1"/>
    <xf numFmtId="191" fontId="0" fillId="55" borderId="112" xfId="0" applyFont="1" applyFill="1" applyBorder="1"/>
    <xf numFmtId="191" fontId="4" fillId="55" borderId="103" xfId="0" applyFont="1" applyFill="1" applyBorder="1"/>
    <xf numFmtId="191" fontId="4" fillId="55" borderId="104" xfId="0" applyFont="1" applyFill="1" applyBorder="1"/>
    <xf numFmtId="191" fontId="4" fillId="29" borderId="109" xfId="0" applyFont="1" applyFill="1" applyBorder="1"/>
    <xf numFmtId="191" fontId="4" fillId="29" borderId="106" xfId="0" applyFont="1" applyFill="1" applyBorder="1"/>
    <xf numFmtId="191" fontId="4" fillId="29" borderId="113" xfId="0" applyFont="1" applyFill="1" applyBorder="1"/>
    <xf numFmtId="191" fontId="4" fillId="29" borderId="114" xfId="0" applyFont="1" applyFill="1" applyBorder="1"/>
    <xf numFmtId="191" fontId="4" fillId="29" borderId="115" xfId="0" applyFont="1" applyFill="1" applyBorder="1"/>
    <xf numFmtId="192" fontId="10" fillId="46" borderId="1" xfId="0" applyNumberFormat="1" applyFont="1" applyFill="1" applyBorder="1" applyAlignment="1">
      <alignment horizontal="center"/>
    </xf>
    <xf numFmtId="4" fontId="44" fillId="46" borderId="7" xfId="0" applyNumberFormat="1" applyFont="1" applyFill="1" applyBorder="1" applyAlignment="1">
      <alignment horizontal="center"/>
    </xf>
    <xf numFmtId="1" fontId="15" fillId="29" borderId="23" xfId="0" applyNumberFormat="1" applyFont="1" applyFill="1" applyBorder="1" applyAlignment="1">
      <alignment horizontal="center"/>
    </xf>
    <xf numFmtId="1" fontId="15" fillId="29" borderId="25" xfId="0" applyNumberFormat="1" applyFont="1" applyFill="1" applyBorder="1" applyAlignment="1">
      <alignment horizontal="center"/>
    </xf>
    <xf numFmtId="1" fontId="15" fillId="29" borderId="29" xfId="0" applyNumberFormat="1" applyFont="1" applyFill="1" applyBorder="1" applyAlignment="1">
      <alignment horizontal="center"/>
    </xf>
    <xf numFmtId="191" fontId="15" fillId="5" borderId="21" xfId="0" applyFont="1" applyFill="1" applyBorder="1"/>
    <xf numFmtId="191" fontId="15" fillId="5" borderId="28" xfId="0" applyFont="1" applyFill="1" applyBorder="1"/>
    <xf numFmtId="191" fontId="15" fillId="29" borderId="93" xfId="0" applyFont="1" applyFill="1" applyBorder="1"/>
    <xf numFmtId="191" fontId="15" fillId="29" borderId="95" xfId="0" applyFont="1" applyFill="1" applyBorder="1"/>
    <xf numFmtId="191" fontId="15" fillId="29" borderId="94" xfId="0" applyFont="1" applyFill="1" applyBorder="1"/>
    <xf numFmtId="9" fontId="15" fillId="29" borderId="21" xfId="1" applyFont="1" applyFill="1" applyBorder="1" applyAlignment="1">
      <alignment horizontal="center"/>
    </xf>
    <xf numFmtId="9" fontId="15" fillId="29" borderId="24" xfId="1" applyFont="1" applyFill="1" applyBorder="1" applyAlignment="1">
      <alignment horizontal="center"/>
    </xf>
    <xf numFmtId="9" fontId="15" fillId="29" borderId="28" xfId="1" applyFont="1" applyFill="1" applyBorder="1" applyAlignment="1">
      <alignment horizontal="center"/>
    </xf>
    <xf numFmtId="191" fontId="15" fillId="5" borderId="23" xfId="0" applyFont="1" applyFill="1" applyBorder="1"/>
    <xf numFmtId="191" fontId="15" fillId="5" borderId="29" xfId="0" applyFont="1" applyFill="1" applyBorder="1"/>
    <xf numFmtId="182" fontId="15" fillId="29" borderId="93" xfId="28" applyNumberFormat="1" applyFont="1" applyFill="1" applyBorder="1"/>
    <xf numFmtId="182" fontId="15" fillId="29" borderId="95" xfId="28" applyNumberFormat="1" applyFont="1" applyFill="1" applyBorder="1"/>
    <xf numFmtId="182" fontId="15" fillId="29" borderId="94" xfId="28" applyNumberFormat="1" applyFont="1" applyFill="1" applyBorder="1"/>
    <xf numFmtId="191" fontId="4" fillId="29" borderId="45" xfId="0" applyFont="1" applyFill="1" applyBorder="1" applyAlignment="1">
      <alignment horizontal="left"/>
    </xf>
    <xf numFmtId="191" fontId="4" fillId="29" borderId="116" xfId="0" applyFont="1" applyFill="1" applyBorder="1" applyAlignment="1">
      <alignment horizontal="right"/>
    </xf>
    <xf numFmtId="191" fontId="4" fillId="29" borderId="117" xfId="0" applyFont="1" applyFill="1" applyBorder="1" applyAlignment="1">
      <alignment horizontal="right"/>
    </xf>
    <xf numFmtId="191" fontId="4" fillId="29" borderId="31" xfId="0" applyFont="1" applyFill="1" applyBorder="1" applyAlignment="1">
      <alignment horizontal="left"/>
    </xf>
    <xf numFmtId="1" fontId="4" fillId="29" borderId="118" xfId="0" applyNumberFormat="1" applyFont="1" applyFill="1" applyBorder="1" applyAlignment="1">
      <alignment horizontal="right"/>
    </xf>
    <xf numFmtId="196" fontId="4" fillId="29" borderId="118" xfId="0" applyNumberFormat="1" applyFont="1" applyFill="1" applyBorder="1" applyAlignment="1">
      <alignment horizontal="right"/>
    </xf>
    <xf numFmtId="2" fontId="4" fillId="29" borderId="118" xfId="0" applyNumberFormat="1" applyFont="1" applyFill="1" applyBorder="1" applyAlignment="1">
      <alignment horizontal="right"/>
    </xf>
    <xf numFmtId="191" fontId="4" fillId="29" borderId="33" xfId="0" applyFont="1" applyFill="1" applyBorder="1" applyAlignment="1">
      <alignment horizontal="left"/>
    </xf>
    <xf numFmtId="191" fontId="0" fillId="29" borderId="111" xfId="0" applyFill="1" applyBorder="1" applyAlignment="1">
      <alignment horizontal="right"/>
    </xf>
    <xf numFmtId="1" fontId="4" fillId="29" borderId="119" xfId="0" applyNumberFormat="1" applyFont="1" applyFill="1" applyBorder="1" applyAlignment="1">
      <alignment horizontal="right"/>
    </xf>
    <xf numFmtId="187" fontId="27" fillId="35" borderId="12" xfId="0" applyNumberFormat="1" applyFont="1" applyFill="1" applyBorder="1" applyAlignment="1" applyProtection="1">
      <alignment horizontal="center" vertical="center" wrapText="1"/>
      <protection locked="0" hidden="1"/>
    </xf>
    <xf numFmtId="0" fontId="47" fillId="43" borderId="120" xfId="0" applyNumberFormat="1" applyFont="1" applyFill="1" applyBorder="1" applyAlignment="1">
      <alignment horizontal="center"/>
    </xf>
    <xf numFmtId="0" fontId="47" fillId="29" borderId="95" xfId="0" applyNumberFormat="1" applyFont="1" applyFill="1" applyBorder="1" applyAlignment="1">
      <alignment horizontal="center"/>
    </xf>
    <xf numFmtId="0" fontId="47" fillId="43" borderId="121" xfId="0" applyNumberFormat="1" applyFont="1" applyFill="1" applyBorder="1" applyAlignment="1">
      <alignment horizontal="center"/>
    </xf>
    <xf numFmtId="0" fontId="47" fillId="29" borderId="94" xfId="0" applyNumberFormat="1" applyFont="1" applyFill="1" applyBorder="1" applyAlignment="1">
      <alignment horizontal="center"/>
    </xf>
    <xf numFmtId="44" fontId="47" fillId="43" borderId="120" xfId="0" applyNumberFormat="1" applyFont="1" applyFill="1" applyBorder="1" applyAlignment="1">
      <alignment horizontal="center"/>
    </xf>
    <xf numFmtId="1" fontId="47" fillId="29" borderId="95" xfId="0" applyNumberFormat="1" applyFont="1" applyFill="1" applyBorder="1" applyAlignment="1">
      <alignment horizontal="center"/>
    </xf>
    <xf numFmtId="44" fontId="47" fillId="43" borderId="121" xfId="0" applyNumberFormat="1" applyFont="1" applyFill="1" applyBorder="1" applyAlignment="1">
      <alignment horizontal="center"/>
    </xf>
    <xf numFmtId="0" fontId="45" fillId="43" borderId="21" xfId="0" applyNumberFormat="1" applyFont="1" applyFill="1" applyBorder="1"/>
    <xf numFmtId="0" fontId="47" fillId="43" borderId="22" xfId="0" applyNumberFormat="1" applyFont="1" applyFill="1" applyBorder="1"/>
    <xf numFmtId="0" fontId="47" fillId="29" borderId="90" xfId="0" applyNumberFormat="1" applyFont="1" applyFill="1" applyBorder="1" applyAlignment="1">
      <alignment horizontal="left" indent="1"/>
    </xf>
    <xf numFmtId="0" fontId="47" fillId="29" borderId="91" xfId="0" applyNumberFormat="1" applyFont="1" applyFill="1" applyBorder="1"/>
    <xf numFmtId="0" fontId="52" fillId="29" borderId="24" xfId="0" applyNumberFormat="1" applyFont="1" applyFill="1" applyBorder="1" applyAlignment="1">
      <alignment horizontal="left" indent="1"/>
    </xf>
    <xf numFmtId="0" fontId="52" fillId="29" borderId="0" xfId="0" applyNumberFormat="1" applyFont="1" applyFill="1" applyBorder="1"/>
    <xf numFmtId="1" fontId="52" fillId="29" borderId="95" xfId="0" applyNumberFormat="1" applyFont="1" applyFill="1" applyBorder="1" applyAlignment="1">
      <alignment horizontal="center"/>
    </xf>
    <xf numFmtId="1" fontId="47" fillId="29" borderId="94" xfId="0" applyNumberFormat="1" applyFont="1" applyFill="1" applyBorder="1" applyAlignment="1">
      <alignment horizontal="center"/>
    </xf>
    <xf numFmtId="187" fontId="47" fillId="29" borderId="95" xfId="0" applyNumberFormat="1" applyFont="1" applyFill="1" applyBorder="1" applyAlignment="1">
      <alignment horizontal="center"/>
    </xf>
    <xf numFmtId="1" fontId="5" fillId="44" borderId="25" xfId="0" applyNumberFormat="1" applyFont="1" applyFill="1" applyBorder="1" applyAlignment="1">
      <alignment horizontal="right"/>
    </xf>
    <xf numFmtId="191" fontId="10" fillId="2" borderId="12" xfId="0" applyFont="1" applyFill="1" applyBorder="1" applyAlignment="1" applyProtection="1">
      <alignment horizontal="center" vertical="center" wrapText="1"/>
      <protection hidden="1"/>
    </xf>
    <xf numFmtId="187" fontId="47" fillId="43" borderId="121" xfId="0" applyNumberFormat="1" applyFont="1" applyFill="1" applyBorder="1" applyAlignment="1">
      <alignment horizontal="center"/>
    </xf>
    <xf numFmtId="191" fontId="0" fillId="56" borderId="90" xfId="0" applyFont="1" applyFill="1" applyBorder="1"/>
    <xf numFmtId="2" fontId="0" fillId="56" borderId="122" xfId="0" applyNumberFormat="1" applyFont="1" applyFill="1" applyBorder="1" applyAlignment="1">
      <alignment horizontal="center"/>
    </xf>
    <xf numFmtId="189" fontId="0" fillId="56" borderId="123" xfId="0" applyNumberFormat="1" applyFont="1" applyFill="1" applyBorder="1" applyAlignment="1">
      <alignment horizontal="center"/>
    </xf>
    <xf numFmtId="191" fontId="4" fillId="29" borderId="45" xfId="0" applyFont="1" applyFill="1" applyBorder="1"/>
    <xf numFmtId="2" fontId="4" fillId="29" borderId="124" xfId="0" applyNumberFormat="1" applyFont="1" applyFill="1" applyBorder="1" applyAlignment="1">
      <alignment horizontal="center"/>
    </xf>
    <xf numFmtId="179" fontId="4" fillId="29" borderId="117" xfId="0" applyNumberFormat="1" applyFont="1" applyFill="1" applyBorder="1" applyAlignment="1">
      <alignment horizontal="center"/>
    </xf>
    <xf numFmtId="191" fontId="4" fillId="29" borderId="31" xfId="0" applyFont="1" applyFill="1" applyBorder="1"/>
    <xf numFmtId="178" fontId="4" fillId="29" borderId="118" xfId="0" applyNumberFormat="1" applyFont="1" applyFill="1" applyBorder="1" applyAlignment="1">
      <alignment horizontal="center"/>
    </xf>
    <xf numFmtId="191" fontId="69" fillId="29" borderId="57" xfId="0" applyFont="1" applyFill="1" applyBorder="1"/>
    <xf numFmtId="191" fontId="69" fillId="29" borderId="58" xfId="0" applyFont="1" applyFill="1" applyBorder="1"/>
    <xf numFmtId="1" fontId="69" fillId="29" borderId="60" xfId="0" applyNumberFormat="1" applyFont="1" applyFill="1" applyBorder="1"/>
    <xf numFmtId="191" fontId="69" fillId="29" borderId="24" xfId="0" applyFont="1" applyFill="1" applyBorder="1"/>
    <xf numFmtId="191" fontId="69" fillId="29" borderId="25" xfId="0" applyFont="1" applyFill="1" applyBorder="1"/>
    <xf numFmtId="1" fontId="69" fillId="29" borderId="64" xfId="0" applyNumberFormat="1" applyFont="1" applyFill="1" applyBorder="1"/>
    <xf numFmtId="191" fontId="16" fillId="2" borderId="0" xfId="0" applyFont="1" applyFill="1" applyBorder="1" applyAlignment="1" applyProtection="1">
      <alignment horizontal="center" vertical="center" wrapText="1"/>
      <protection hidden="1"/>
    </xf>
    <xf numFmtId="191" fontId="40" fillId="2" borderId="15" xfId="0" applyFont="1" applyFill="1" applyBorder="1" applyAlignment="1" applyProtection="1">
      <alignment horizontal="center" vertical="center" wrapText="1"/>
      <protection locked="0" hidden="1"/>
    </xf>
    <xf numFmtId="191" fontId="40" fillId="2" borderId="0" xfId="0" applyFont="1" applyFill="1" applyBorder="1" applyAlignment="1" applyProtection="1">
      <alignment horizontal="center" vertical="center" wrapText="1"/>
      <protection locked="0" hidden="1"/>
    </xf>
    <xf numFmtId="191" fontId="38" fillId="5" borderId="53" xfId="0" applyFont="1" applyFill="1" applyBorder="1" applyAlignment="1" applyProtection="1">
      <alignment horizontal="center" vertical="center" wrapText="1"/>
      <protection locked="0" hidden="1"/>
    </xf>
    <xf numFmtId="191" fontId="38" fillId="5" borderId="54" xfId="0" applyFont="1" applyFill="1" applyBorder="1" applyAlignment="1" applyProtection="1">
      <alignment horizontal="center" vertical="center" wrapText="1"/>
      <protection locked="0" hidden="1"/>
    </xf>
    <xf numFmtId="191" fontId="15" fillId="2" borderId="0" xfId="0" applyFont="1" applyFill="1" applyBorder="1" applyAlignment="1" applyProtection="1">
      <alignment horizontal="center" wrapText="1"/>
      <protection hidden="1"/>
    </xf>
    <xf numFmtId="9" fontId="27" fillId="35" borderId="53" xfId="0" applyNumberFormat="1" applyFont="1" applyFill="1" applyBorder="1" applyAlignment="1" applyProtection="1">
      <alignment horizontal="center" vertical="center" wrapText="1"/>
      <protection locked="0" hidden="1"/>
    </xf>
    <xf numFmtId="191" fontId="27" fillId="35" borderId="54" xfId="0" applyFont="1" applyFill="1" applyBorder="1" applyAlignment="1" applyProtection="1">
      <alignment horizontal="center" vertical="center" wrapText="1"/>
      <protection locked="0" hidden="1"/>
    </xf>
    <xf numFmtId="191" fontId="16" fillId="2" borderId="18" xfId="0" applyFont="1" applyFill="1" applyBorder="1" applyAlignment="1" applyProtection="1">
      <alignment horizontal="center" vertical="center" wrapText="1"/>
      <protection hidden="1"/>
    </xf>
    <xf numFmtId="191" fontId="38" fillId="36" borderId="80" xfId="0" applyFont="1" applyFill="1" applyBorder="1" applyAlignment="1" applyProtection="1">
      <alignment horizontal="center" vertical="center" wrapText="1"/>
      <protection locked="0" hidden="1"/>
    </xf>
    <xf numFmtId="191" fontId="38" fillId="36" borderId="81" xfId="0" applyFont="1" applyFill="1" applyBorder="1" applyAlignment="1" applyProtection="1">
      <alignment horizontal="center" vertical="center" wrapText="1"/>
      <protection locked="0" hidden="1"/>
    </xf>
    <xf numFmtId="191" fontId="38" fillId="36" borderId="80" xfId="0" applyFont="1" applyFill="1" applyBorder="1" applyAlignment="1" applyProtection="1">
      <alignment horizontal="center" vertical="center" wrapText="1"/>
      <protection hidden="1"/>
    </xf>
    <xf numFmtId="191" fontId="38" fillId="36" borderId="81" xfId="0" applyFont="1" applyFill="1" applyBorder="1" applyAlignment="1" applyProtection="1">
      <alignment horizontal="center" vertical="center" wrapText="1"/>
      <protection hidden="1"/>
    </xf>
    <xf numFmtId="9" fontId="38" fillId="36" borderId="80" xfId="1" applyFont="1" applyFill="1" applyBorder="1" applyAlignment="1" applyProtection="1">
      <alignment horizontal="center" vertical="center" wrapText="1"/>
      <protection hidden="1"/>
    </xf>
    <xf numFmtId="9" fontId="38" fillId="36" borderId="81" xfId="1" applyFont="1" applyFill="1" applyBorder="1" applyAlignment="1" applyProtection="1">
      <alignment horizontal="center" vertical="center" wrapText="1"/>
      <protection hidden="1"/>
    </xf>
    <xf numFmtId="191" fontId="38" fillId="36" borderId="80" xfId="0" quotePrefix="1" applyNumberFormat="1" applyFont="1" applyFill="1" applyBorder="1" applyAlignment="1" applyProtection="1">
      <alignment horizontal="center" vertical="center" wrapText="1"/>
      <protection locked="0" hidden="1"/>
    </xf>
    <xf numFmtId="191" fontId="38" fillId="36" borderId="81" xfId="0" quotePrefix="1" applyNumberFormat="1" applyFont="1" applyFill="1" applyBorder="1" applyAlignment="1" applyProtection="1">
      <alignment horizontal="center" vertical="center" wrapText="1"/>
      <protection locked="0" hidden="1"/>
    </xf>
    <xf numFmtId="0" fontId="3" fillId="50" borderId="0" xfId="39" applyFont="1" applyFill="1" applyAlignment="1">
      <alignment horizontal="left" vertical="center"/>
    </xf>
    <xf numFmtId="0" fontId="64" fillId="49" borderId="26" xfId="39" applyFont="1" applyFill="1" applyBorder="1" applyAlignment="1">
      <alignment horizontal="center"/>
    </xf>
    <xf numFmtId="0" fontId="64" fillId="49" borderId="30" xfId="39" applyFont="1" applyFill="1" applyBorder="1" applyAlignment="1">
      <alignment horizontal="center"/>
    </xf>
    <xf numFmtId="0" fontId="64" fillId="5" borderId="84" xfId="39" applyFont="1" applyFill="1" applyBorder="1" applyAlignment="1">
      <alignment horizontal="center"/>
    </xf>
    <xf numFmtId="0" fontId="64" fillId="5" borderId="85" xfId="39" applyFont="1" applyFill="1" applyBorder="1" applyAlignment="1">
      <alignment horizontal="center"/>
    </xf>
    <xf numFmtId="191" fontId="22" fillId="14" borderId="26" xfId="4" applyFont="1" applyFill="1" applyBorder="1" applyAlignment="1">
      <alignment horizontal="center"/>
    </xf>
    <xf numFmtId="191" fontId="22" fillId="14" borderId="30" xfId="4" applyFont="1" applyFill="1" applyBorder="1" applyAlignment="1">
      <alignment horizontal="center"/>
    </xf>
    <xf numFmtId="191" fontId="50" fillId="6" borderId="26" xfId="4" applyFont="1" applyFill="1" applyBorder="1" applyAlignment="1">
      <alignment horizontal="left"/>
    </xf>
    <xf numFmtId="191" fontId="50" fillId="6" borderId="37" xfId="4" applyFont="1" applyFill="1" applyBorder="1" applyAlignment="1">
      <alignment horizontal="left"/>
    </xf>
    <xf numFmtId="191" fontId="50" fillId="41" borderId="26" xfId="4" applyFont="1" applyFill="1" applyBorder="1" applyAlignment="1">
      <alignment horizontal="left"/>
    </xf>
    <xf numFmtId="191" fontId="50" fillId="41" borderId="37" xfId="4" applyFont="1" applyFill="1" applyBorder="1" applyAlignment="1">
      <alignment horizontal="left"/>
    </xf>
    <xf numFmtId="0" fontId="58" fillId="14" borderId="21" xfId="0" applyNumberFormat="1" applyFont="1" applyFill="1" applyBorder="1" applyAlignment="1">
      <alignment horizontal="center"/>
    </xf>
    <xf numFmtId="0" fontId="58" fillId="14" borderId="22" xfId="0" applyNumberFormat="1" applyFont="1" applyFill="1" applyBorder="1" applyAlignment="1">
      <alignment horizontal="center"/>
    </xf>
    <xf numFmtId="0" fontId="58" fillId="14" borderId="23" xfId="0" applyNumberFormat="1" applyFont="1" applyFill="1" applyBorder="1" applyAlignment="1">
      <alignment horizontal="center"/>
    </xf>
    <xf numFmtId="0" fontId="58" fillId="14" borderId="26" xfId="0" applyNumberFormat="1" applyFont="1" applyFill="1" applyBorder="1" applyAlignment="1">
      <alignment horizontal="center"/>
    </xf>
    <xf numFmtId="191" fontId="30" fillId="5" borderId="39" xfId="0" applyFont="1" applyFill="1" applyBorder="1" applyAlignment="1">
      <alignment horizontal="center" vertical="center"/>
    </xf>
    <xf numFmtId="191" fontId="30" fillId="5" borderId="13" xfId="0" applyFont="1" applyFill="1" applyBorder="1" applyAlignment="1">
      <alignment horizontal="center" vertical="center"/>
    </xf>
    <xf numFmtId="0" fontId="45" fillId="2" borderId="0" xfId="39" applyFont="1" applyFill="1" applyAlignment="1">
      <alignment horizontal="left" vertical="center"/>
    </xf>
    <xf numFmtId="191" fontId="30" fillId="5" borderId="29" xfId="0" applyFont="1" applyFill="1" applyBorder="1" applyAlignment="1">
      <alignment horizontal="center" vertical="center"/>
    </xf>
    <xf numFmtId="191" fontId="30" fillId="5" borderId="21" xfId="0" applyFont="1" applyFill="1" applyBorder="1" applyAlignment="1">
      <alignment horizontal="center" vertical="center"/>
    </xf>
    <xf numFmtId="191" fontId="30" fillId="5" borderId="28" xfId="0" applyFont="1" applyFill="1" applyBorder="1" applyAlignment="1">
      <alignment horizontal="center" vertical="center"/>
    </xf>
    <xf numFmtId="191" fontId="29" fillId="6" borderId="26" xfId="4" applyFont="1" applyFill="1" applyBorder="1" applyAlignment="1">
      <alignment horizontal="left" vertical="center"/>
    </xf>
    <xf numFmtId="191" fontId="29" fillId="6" borderId="37" xfId="4" applyFont="1" applyFill="1" applyBorder="1" applyAlignment="1">
      <alignment horizontal="left" vertical="center"/>
    </xf>
    <xf numFmtId="191" fontId="29" fillId="6" borderId="30" xfId="4" applyFont="1" applyFill="1" applyBorder="1" applyAlignment="1">
      <alignment horizontal="left" vertical="center"/>
    </xf>
    <xf numFmtId="191" fontId="29" fillId="41" borderId="26" xfId="4" applyFont="1" applyFill="1" applyBorder="1" applyAlignment="1">
      <alignment horizontal="left" vertical="center"/>
    </xf>
    <xf numFmtId="191" fontId="29" fillId="41" borderId="37" xfId="4" applyFont="1" applyFill="1" applyBorder="1" applyAlignment="1">
      <alignment horizontal="left" vertical="center"/>
    </xf>
    <xf numFmtId="191" fontId="29" fillId="41" borderId="30" xfId="4" applyFont="1" applyFill="1" applyBorder="1" applyAlignment="1">
      <alignment horizontal="left" vertical="center"/>
    </xf>
    <xf numFmtId="191" fontId="30" fillId="28" borderId="21" xfId="0" applyFont="1" applyFill="1" applyBorder="1" applyAlignment="1">
      <alignment horizontal="center"/>
    </xf>
    <xf numFmtId="191" fontId="30" fillId="28" borderId="22" xfId="0" applyFont="1" applyFill="1" applyBorder="1" applyAlignment="1">
      <alignment horizontal="center"/>
    </xf>
    <xf numFmtId="191" fontId="30" fillId="28" borderId="23" xfId="0" applyFont="1" applyFill="1" applyBorder="1" applyAlignment="1">
      <alignment horizontal="center"/>
    </xf>
    <xf numFmtId="0" fontId="29" fillId="28" borderId="10" xfId="4" applyNumberFormat="1" applyFont="1" applyFill="1" applyBorder="1" applyAlignment="1">
      <alignment horizontal="center"/>
    </xf>
    <xf numFmtId="0" fontId="29" fillId="28" borderId="26" xfId="4" applyNumberFormat="1" applyFont="1" applyFill="1" applyBorder="1" applyAlignment="1">
      <alignment horizontal="center"/>
    </xf>
    <xf numFmtId="0" fontId="29" fillId="28" borderId="37" xfId="4" applyNumberFormat="1" applyFont="1" applyFill="1" applyBorder="1" applyAlignment="1">
      <alignment horizontal="center"/>
    </xf>
    <xf numFmtId="0" fontId="29" fillId="28" borderId="30" xfId="4" applyNumberFormat="1" applyFont="1" applyFill="1" applyBorder="1" applyAlignment="1">
      <alignment horizontal="center"/>
    </xf>
    <xf numFmtId="191" fontId="30" fillId="27" borderId="37" xfId="0" applyFont="1" applyFill="1" applyBorder="1" applyAlignment="1">
      <alignment horizontal="center"/>
    </xf>
    <xf numFmtId="191" fontId="30" fillId="27" borderId="30" xfId="0" applyFont="1" applyFill="1" applyBorder="1" applyAlignment="1">
      <alignment horizontal="center"/>
    </xf>
    <xf numFmtId="191" fontId="30" fillId="27" borderId="22" xfId="0" applyFont="1" applyFill="1" applyBorder="1" applyAlignment="1">
      <alignment horizontal="center"/>
    </xf>
    <xf numFmtId="191" fontId="29" fillId="5" borderId="39" xfId="30" applyFont="1" applyFill="1" applyBorder="1" applyAlignment="1">
      <alignment horizontal="center" vertical="center"/>
    </xf>
    <xf numFmtId="191" fontId="29" fillId="5" borderId="13" xfId="30" applyFont="1" applyFill="1" applyBorder="1" applyAlignment="1">
      <alignment horizontal="center" vertical="center"/>
    </xf>
    <xf numFmtId="191" fontId="30" fillId="27" borderId="21" xfId="0" applyFont="1" applyFill="1" applyBorder="1" applyAlignment="1">
      <alignment horizontal="center"/>
    </xf>
    <xf numFmtId="191" fontId="30" fillId="5" borderId="23" xfId="0" applyFont="1" applyFill="1" applyBorder="1" applyAlignment="1">
      <alignment horizontal="center" vertical="center"/>
    </xf>
    <xf numFmtId="191" fontId="30" fillId="5" borderId="11" xfId="0" applyFont="1" applyFill="1" applyBorder="1" applyAlignment="1">
      <alignment horizontal="center" vertical="center"/>
    </xf>
    <xf numFmtId="0" fontId="66" fillId="14" borderId="0" xfId="39" applyFont="1" applyFill="1" applyAlignment="1">
      <alignment horizontal="left" vertical="center"/>
    </xf>
    <xf numFmtId="0" fontId="66" fillId="14" borderId="57" xfId="39" applyFont="1" applyFill="1" applyBorder="1" applyAlignment="1">
      <alignment horizontal="left" vertical="center"/>
    </xf>
    <xf numFmtId="0" fontId="66" fillId="14" borderId="58" xfId="39" applyFont="1" applyFill="1" applyBorder="1" applyAlignment="1">
      <alignment horizontal="left" vertical="center"/>
    </xf>
    <xf numFmtId="0" fontId="66" fillId="14" borderId="60" xfId="39" applyFont="1" applyFill="1" applyBorder="1" applyAlignment="1">
      <alignment horizontal="left" vertical="center"/>
    </xf>
    <xf numFmtId="191" fontId="43" fillId="14" borderId="26" xfId="0" applyFont="1" applyFill="1" applyBorder="1" applyAlignment="1">
      <alignment horizontal="center"/>
    </xf>
    <xf numFmtId="191" fontId="43" fillId="14" borderId="37" xfId="0" applyFont="1" applyFill="1" applyBorder="1" applyAlignment="1">
      <alignment horizontal="center"/>
    </xf>
    <xf numFmtId="191" fontId="43" fillId="14" borderId="30" xfId="0" applyFont="1" applyFill="1" applyBorder="1" applyAlignment="1">
      <alignment horizontal="center"/>
    </xf>
    <xf numFmtId="0" fontId="3" fillId="2" borderId="0" xfId="39" applyFont="1" applyFill="1" applyAlignment="1">
      <alignment horizontal="left" vertical="center"/>
    </xf>
    <xf numFmtId="0" fontId="3" fillId="6" borderId="0" xfId="39" applyFont="1" applyFill="1" applyAlignment="1">
      <alignment horizontal="left" vertical="center"/>
    </xf>
    <xf numFmtId="191" fontId="45" fillId="31" borderId="39" xfId="4" applyFont="1" applyFill="1" applyBorder="1" applyAlignment="1">
      <alignment horizontal="center" vertical="center"/>
    </xf>
    <xf numFmtId="191" fontId="45" fillId="31" borderId="42" xfId="4" applyFont="1" applyFill="1" applyBorder="1" applyAlignment="1">
      <alignment horizontal="center" vertical="center"/>
    </xf>
    <xf numFmtId="191" fontId="45" fillId="28" borderId="10" xfId="0" applyFont="1" applyFill="1" applyBorder="1" applyAlignment="1">
      <alignment horizontal="center"/>
    </xf>
    <xf numFmtId="191" fontId="45" fillId="28" borderId="39" xfId="4" applyFont="1" applyFill="1" applyBorder="1" applyAlignment="1">
      <alignment horizontal="center" vertical="center"/>
    </xf>
    <xf numFmtId="191" fontId="45" fillId="28" borderId="42" xfId="4" applyFont="1" applyFill="1" applyBorder="1" applyAlignment="1">
      <alignment horizontal="center" vertical="center"/>
    </xf>
    <xf numFmtId="191" fontId="45" fillId="28" borderId="10" xfId="0" applyFont="1" applyFill="1" applyBorder="1" applyAlignment="1">
      <alignment horizontal="center" vertical="center"/>
    </xf>
    <xf numFmtId="191" fontId="45" fillId="28" borderId="39" xfId="0" applyFont="1" applyFill="1" applyBorder="1" applyAlignment="1">
      <alignment horizontal="center" vertical="center"/>
    </xf>
    <xf numFmtId="191" fontId="45" fillId="28" borderId="42" xfId="0" applyFont="1" applyFill="1" applyBorder="1" applyAlignment="1">
      <alignment horizontal="center" vertical="center"/>
    </xf>
    <xf numFmtId="191" fontId="47" fillId="5" borderId="10" xfId="0" applyFont="1" applyFill="1" applyBorder="1" applyAlignment="1">
      <alignment horizontal="left"/>
    </xf>
    <xf numFmtId="0" fontId="45" fillId="28" borderId="39" xfId="39" applyFont="1" applyFill="1" applyBorder="1" applyAlignment="1">
      <alignment vertical="center"/>
    </xf>
    <xf numFmtId="0" fontId="45" fillId="28" borderId="13" xfId="39" applyFont="1" applyFill="1" applyBorder="1" applyAlignment="1">
      <alignment vertical="center"/>
    </xf>
    <xf numFmtId="191" fontId="3" fillId="6" borderId="0" xfId="0" applyFont="1" applyFill="1" applyAlignment="1">
      <alignment horizontal="left"/>
    </xf>
    <xf numFmtId="0" fontId="45" fillId="5" borderId="39" xfId="0" applyNumberFormat="1" applyFont="1" applyFill="1" applyBorder="1" applyAlignment="1" applyProtection="1">
      <alignment vertical="center"/>
      <protection hidden="1"/>
    </xf>
    <xf numFmtId="0" fontId="45" fillId="5" borderId="13" xfId="0" applyNumberFormat="1" applyFont="1" applyFill="1" applyBorder="1" applyAlignment="1" applyProtection="1">
      <alignment vertical="center"/>
      <protection hidden="1"/>
    </xf>
    <xf numFmtId="184" fontId="45" fillId="5" borderId="26" xfId="0" applyNumberFormat="1" applyFont="1" applyFill="1" applyBorder="1" applyAlignment="1" applyProtection="1">
      <alignment horizontal="center"/>
      <protection hidden="1"/>
    </xf>
    <xf numFmtId="184" fontId="45" fillId="5" borderId="37" xfId="0" applyNumberFormat="1" applyFont="1" applyFill="1" applyBorder="1" applyAlignment="1" applyProtection="1">
      <alignment horizontal="center"/>
      <protection hidden="1"/>
    </xf>
    <xf numFmtId="184" fontId="45" fillId="5" borderId="30" xfId="0" applyNumberFormat="1" applyFont="1" applyFill="1" applyBorder="1" applyAlignment="1" applyProtection="1">
      <alignment horizontal="center"/>
      <protection hidden="1"/>
    </xf>
    <xf numFmtId="0" fontId="45" fillId="16" borderId="10" xfId="0" applyNumberFormat="1" applyFont="1" applyFill="1" applyBorder="1" applyAlignment="1" applyProtection="1">
      <alignment horizontal="left" vertical="center" wrapText="1"/>
      <protection hidden="1"/>
    </xf>
    <xf numFmtId="184" fontId="45" fillId="16" borderId="10" xfId="0" applyNumberFormat="1" applyFont="1" applyFill="1" applyBorder="1" applyAlignment="1" applyProtection="1">
      <alignment horizontal="center"/>
      <protection hidden="1"/>
    </xf>
    <xf numFmtId="191" fontId="47" fillId="16" borderId="10" xfId="0" applyFont="1" applyFill="1" applyBorder="1" applyAlignment="1">
      <alignment horizontal="center"/>
    </xf>
    <xf numFmtId="184" fontId="45" fillId="28" borderId="20" xfId="0" applyNumberFormat="1" applyFont="1" applyFill="1" applyBorder="1" applyAlignment="1" applyProtection="1">
      <alignment horizontal="center"/>
      <protection hidden="1"/>
    </xf>
    <xf numFmtId="0" fontId="45" fillId="28" borderId="45" xfId="0" applyNumberFormat="1" applyFont="1" applyFill="1" applyBorder="1" applyAlignment="1" applyProtection="1">
      <alignment horizontal="left" vertical="center"/>
      <protection hidden="1"/>
    </xf>
    <xf numFmtId="0" fontId="45" fillId="28" borderId="46" xfId="0" applyNumberFormat="1" applyFont="1" applyFill="1" applyBorder="1" applyAlignment="1" applyProtection="1">
      <alignment horizontal="left" vertical="center"/>
      <protection hidden="1"/>
    </xf>
    <xf numFmtId="0" fontId="45" fillId="28" borderId="33" xfId="0" applyNumberFormat="1" applyFont="1" applyFill="1" applyBorder="1" applyAlignment="1" applyProtection="1">
      <alignment horizontal="left" vertical="center"/>
      <protection hidden="1"/>
    </xf>
    <xf numFmtId="0" fontId="45" fillId="28" borderId="34" xfId="0" applyNumberFormat="1" applyFont="1" applyFill="1" applyBorder="1" applyAlignment="1" applyProtection="1">
      <alignment horizontal="left" vertical="center"/>
      <protection hidden="1"/>
    </xf>
    <xf numFmtId="191" fontId="4" fillId="29" borderId="11" xfId="0" applyFont="1" applyFill="1" applyBorder="1" applyAlignment="1">
      <alignment horizontal="center" wrapText="1"/>
    </xf>
    <xf numFmtId="191" fontId="4" fillId="29" borderId="0" xfId="0" applyFont="1" applyFill="1" applyBorder="1" applyAlignment="1">
      <alignment horizontal="center" wrapText="1"/>
    </xf>
    <xf numFmtId="191" fontId="12" fillId="28" borderId="26" xfId="4" applyFont="1" applyFill="1" applyBorder="1" applyAlignment="1">
      <alignment horizontal="center" vertical="center"/>
    </xf>
    <xf numFmtId="191" fontId="12" fillId="28" borderId="37" xfId="4" applyFont="1" applyFill="1" applyBorder="1" applyAlignment="1">
      <alignment horizontal="center" vertical="center"/>
    </xf>
    <xf numFmtId="191" fontId="12" fillId="28" borderId="30" xfId="4" applyFont="1" applyFill="1" applyBorder="1" applyAlignment="1">
      <alignment horizontal="center" vertical="center"/>
    </xf>
    <xf numFmtId="191" fontId="12" fillId="28" borderId="21" xfId="4" applyFont="1" applyFill="1" applyBorder="1" applyAlignment="1">
      <alignment horizontal="center" vertical="center"/>
    </xf>
    <xf numFmtId="191" fontId="12" fillId="28" borderId="28" xfId="4" applyFont="1" applyFill="1" applyBorder="1" applyAlignment="1">
      <alignment horizontal="center" vertical="center"/>
    </xf>
    <xf numFmtId="191" fontId="12" fillId="28" borderId="39" xfId="4" applyFont="1" applyFill="1" applyBorder="1" applyAlignment="1">
      <alignment horizontal="center" vertical="center" wrapText="1"/>
    </xf>
    <xf numFmtId="191" fontId="12" fillId="28" borderId="13" xfId="4" applyFont="1" applyFill="1" applyBorder="1" applyAlignment="1">
      <alignment horizontal="center" vertical="center" wrapText="1"/>
    </xf>
    <xf numFmtId="191" fontId="12" fillId="28" borderId="39" xfId="4" applyFont="1" applyFill="1" applyBorder="1" applyAlignment="1">
      <alignment horizontal="center" vertical="center"/>
    </xf>
    <xf numFmtId="191" fontId="12" fillId="28" borderId="13" xfId="4" applyFont="1" applyFill="1" applyBorder="1" applyAlignment="1">
      <alignment horizontal="center" vertical="center"/>
    </xf>
    <xf numFmtId="191" fontId="12" fillId="28" borderId="23" xfId="4" applyFont="1" applyFill="1" applyBorder="1" applyAlignment="1">
      <alignment horizontal="center" vertical="center"/>
    </xf>
    <xf numFmtId="191" fontId="12" fillId="28" borderId="29" xfId="4" applyFont="1" applyFill="1" applyBorder="1" applyAlignment="1">
      <alignment horizontal="center" vertical="center"/>
    </xf>
    <xf numFmtId="191" fontId="45" fillId="32" borderId="0" xfId="0" applyFont="1" applyFill="1" applyAlignment="1">
      <alignment horizontal="center" wrapText="1"/>
    </xf>
    <xf numFmtId="0" fontId="3" fillId="41" borderId="0" xfId="39" applyFont="1" applyFill="1" applyAlignment="1">
      <alignment horizontal="left" vertical="center"/>
    </xf>
    <xf numFmtId="191" fontId="45" fillId="28" borderId="10" xfId="4" applyFont="1" applyFill="1" applyBorder="1" applyAlignment="1">
      <alignment horizontal="center" vertical="center"/>
    </xf>
    <xf numFmtId="191" fontId="47" fillId="5" borderId="26" xfId="0" applyFont="1" applyFill="1" applyBorder="1" applyAlignment="1">
      <alignment horizontal="left"/>
    </xf>
    <xf numFmtId="191" fontId="47" fillId="5" borderId="30" xfId="0" applyFont="1" applyFill="1" applyBorder="1" applyAlignment="1">
      <alignment horizontal="left"/>
    </xf>
    <xf numFmtId="191" fontId="45" fillId="28" borderId="39" xfId="4" applyFont="1" applyFill="1" applyBorder="1" applyAlignment="1">
      <alignment horizontal="left" vertical="center"/>
    </xf>
    <xf numFmtId="191" fontId="45" fillId="28" borderId="13" xfId="4" applyFont="1" applyFill="1" applyBorder="1" applyAlignment="1">
      <alignment horizontal="left" vertical="center"/>
    </xf>
    <xf numFmtId="191" fontId="3" fillId="41" borderId="0" xfId="0" applyFont="1" applyFill="1" applyAlignment="1">
      <alignment horizontal="left"/>
    </xf>
    <xf numFmtId="0" fontId="45" fillId="5" borderId="10" xfId="0" applyNumberFormat="1" applyFont="1" applyFill="1" applyBorder="1" applyAlignment="1" applyProtection="1">
      <alignment horizontal="left" vertical="center"/>
      <protection hidden="1"/>
    </xf>
    <xf numFmtId="184" fontId="45" fillId="5" borderId="10" xfId="0" applyNumberFormat="1" applyFont="1" applyFill="1" applyBorder="1" applyAlignment="1" applyProtection="1">
      <alignment horizontal="center"/>
      <protection hidden="1"/>
    </xf>
    <xf numFmtId="191" fontId="45" fillId="16" borderId="39" xfId="0" applyNumberFormat="1" applyFont="1" applyFill="1" applyBorder="1" applyAlignment="1" applyProtection="1">
      <alignment horizontal="center" vertical="center"/>
      <protection hidden="1"/>
    </xf>
    <xf numFmtId="191" fontId="45" fillId="16" borderId="13" xfId="0" applyNumberFormat="1" applyFont="1" applyFill="1" applyBorder="1" applyAlignment="1" applyProtection="1">
      <alignment horizontal="center" vertical="center"/>
      <protection hidden="1"/>
    </xf>
    <xf numFmtId="0" fontId="45" fillId="28" borderId="90" xfId="0" applyNumberFormat="1" applyFont="1" applyFill="1" applyBorder="1" applyAlignment="1" applyProtection="1">
      <alignment horizontal="left" vertical="center"/>
      <protection hidden="1"/>
    </xf>
    <xf numFmtId="0" fontId="45" fillId="28" borderId="91" xfId="0" applyNumberFormat="1" applyFont="1" applyFill="1" applyBorder="1" applyAlignment="1" applyProtection="1">
      <alignment horizontal="left" vertical="center"/>
      <protection hidden="1"/>
    </xf>
    <xf numFmtId="191" fontId="12" fillId="28" borderId="44" xfId="4" applyFont="1" applyFill="1" applyBorder="1" applyAlignment="1">
      <alignment horizontal="center"/>
    </xf>
    <xf numFmtId="191" fontId="12" fillId="28" borderId="38" xfId="4" applyFont="1" applyFill="1" applyBorder="1" applyAlignment="1">
      <alignment horizontal="center"/>
    </xf>
    <xf numFmtId="191" fontId="12" fillId="28" borderId="49" xfId="4" applyFont="1" applyFill="1" applyBorder="1" applyAlignment="1">
      <alignment horizontal="center"/>
    </xf>
    <xf numFmtId="191" fontId="12" fillId="28" borderId="39" xfId="4" applyFont="1" applyFill="1" applyBorder="1" applyAlignment="1">
      <alignment horizontal="center" wrapText="1"/>
    </xf>
    <xf numFmtId="191" fontId="12" fillId="28" borderId="13" xfId="4" applyFont="1" applyFill="1" applyBorder="1" applyAlignment="1">
      <alignment horizontal="center" wrapText="1"/>
    </xf>
    <xf numFmtId="9" fontId="12" fillId="28" borderId="39" xfId="1" applyFont="1" applyFill="1" applyBorder="1" applyAlignment="1">
      <alignment horizontal="center" vertical="center"/>
    </xf>
    <xf numFmtId="9" fontId="12" fillId="28" borderId="13" xfId="1" applyFont="1" applyFill="1" applyBorder="1" applyAlignment="1">
      <alignment horizontal="center" vertical="center"/>
    </xf>
    <xf numFmtId="191" fontId="45" fillId="32" borderId="0" xfId="0" applyFont="1" applyFill="1" applyAlignment="1">
      <alignment horizontal="center"/>
    </xf>
    <xf numFmtId="191" fontId="25" fillId="23" borderId="14" xfId="0" applyFont="1" applyFill="1" applyBorder="1" applyAlignment="1">
      <alignment horizontal="center" vertical="center"/>
    </xf>
    <xf numFmtId="191" fontId="25" fillId="23" borderId="15" xfId="0" applyFont="1" applyFill="1" applyBorder="1" applyAlignment="1">
      <alignment horizontal="center" vertical="center"/>
    </xf>
    <xf numFmtId="191" fontId="25" fillId="23" borderId="16" xfId="0" applyFont="1" applyFill="1" applyBorder="1" applyAlignment="1">
      <alignment horizontal="center" vertical="center"/>
    </xf>
    <xf numFmtId="191" fontId="25" fillId="23" borderId="17" xfId="0" applyFont="1" applyFill="1" applyBorder="1" applyAlignment="1">
      <alignment horizontal="center" vertical="center"/>
    </xf>
    <xf numFmtId="191" fontId="25" fillId="23" borderId="18" xfId="0" applyFont="1" applyFill="1" applyBorder="1" applyAlignment="1">
      <alignment horizontal="center" vertical="center"/>
    </xf>
    <xf numFmtId="191" fontId="25" fillId="23" borderId="19" xfId="0" applyFont="1" applyFill="1" applyBorder="1" applyAlignment="1">
      <alignment horizontal="center" vertical="center"/>
    </xf>
    <xf numFmtId="191" fontId="0" fillId="34" borderId="53" xfId="0" applyFont="1" applyFill="1" applyBorder="1" applyAlignment="1" applyProtection="1">
      <alignment horizontal="center" vertical="center" wrapText="1"/>
      <protection locked="0" hidden="1"/>
    </xf>
    <xf numFmtId="191" fontId="0" fillId="34" borderId="54" xfId="0" applyFont="1" applyFill="1" applyBorder="1" applyAlignment="1" applyProtection="1">
      <alignment horizontal="center" vertical="center" wrapText="1"/>
      <protection locked="0" hidden="1"/>
    </xf>
    <xf numFmtId="191" fontId="22" fillId="54" borderId="0" xfId="0" applyFont="1" applyFill="1"/>
    <xf numFmtId="191" fontId="0" fillId="54" borderId="0" xfId="0" applyFill="1"/>
    <xf numFmtId="191" fontId="22" fillId="55" borderId="24" xfId="0" applyFont="1" applyFill="1" applyBorder="1"/>
    <xf numFmtId="191" fontId="0" fillId="55" borderId="0" xfId="0" applyFill="1" applyBorder="1"/>
    <xf numFmtId="191" fontId="0" fillId="55" borderId="25" xfId="0" applyFill="1" applyBorder="1"/>
    <xf numFmtId="191" fontId="0" fillId="55" borderId="28" xfId="0" applyFill="1" applyBorder="1"/>
    <xf numFmtId="191" fontId="0" fillId="55" borderId="11" xfId="0" applyFill="1" applyBorder="1"/>
    <xf numFmtId="191" fontId="0" fillId="55" borderId="29" xfId="0" applyFill="1" applyBorder="1"/>
    <xf numFmtId="191" fontId="0" fillId="2" borderId="21" xfId="0" applyFill="1" applyBorder="1"/>
    <xf numFmtId="191" fontId="0" fillId="2" borderId="22" xfId="0" applyFill="1" applyBorder="1"/>
    <xf numFmtId="191" fontId="0" fillId="2" borderId="23" xfId="0" applyFill="1" applyBorder="1"/>
    <xf numFmtId="191" fontId="22" fillId="2" borderId="24" xfId="0" applyFont="1" applyFill="1" applyBorder="1"/>
    <xf numFmtId="191" fontId="0" fillId="2" borderId="0" xfId="0" applyFill="1" applyBorder="1"/>
    <xf numFmtId="191" fontId="0" fillId="2" borderId="25" xfId="0" applyFill="1" applyBorder="1"/>
    <xf numFmtId="191" fontId="0" fillId="2" borderId="28" xfId="0" applyFill="1" applyBorder="1"/>
    <xf numFmtId="191" fontId="0" fillId="2" borderId="11" xfId="0" applyFill="1" applyBorder="1"/>
    <xf numFmtId="191" fontId="0" fillId="2" borderId="29" xfId="0" applyFill="1" applyBorder="1"/>
  </cellXfs>
  <cellStyles count="41">
    <cellStyle name="60% - Accent4" xfId="33" builtinId="44"/>
    <cellStyle name="60% - Accent5" xfId="34" builtinId="48"/>
    <cellStyle name="Bad" xfId="32" builtinId="27"/>
    <cellStyle name="CALC Amount" xfId="18" xr:uid="{00000000-0005-0000-0000-000000000000}"/>
    <cellStyle name="CALC Amount [2]" xfId="23" xr:uid="{00000000-0005-0000-0000-000001000000}"/>
    <cellStyle name="CALC Amount Total" xfId="22" xr:uid="{00000000-0005-0000-0000-000002000000}"/>
    <cellStyle name="CALC Currency" xfId="20" xr:uid="{00000000-0005-0000-0000-000003000000}"/>
    <cellStyle name="CALC Currency [2]" xfId="12" xr:uid="{00000000-0005-0000-0000-000004000000}"/>
    <cellStyle name="CALC Currency Total" xfId="21" xr:uid="{00000000-0005-0000-0000-000005000000}"/>
    <cellStyle name="Comma" xfId="29" builtinId="3"/>
    <cellStyle name="Comma 2" xfId="11" xr:uid="{00000000-0005-0000-0000-000006000000}"/>
    <cellStyle name="Comma 2 2" xfId="24" xr:uid="{00000000-0005-0000-0000-000007000000}"/>
    <cellStyle name="Comma 3" xfId="2" xr:uid="{00000000-0005-0000-0000-000008000000}"/>
    <cellStyle name="Comma 3 2" xfId="36" xr:uid="{00000000-0005-0000-0000-00000C000000}"/>
    <cellStyle name="Currency" xfId="28" builtinId="4"/>
    <cellStyle name="Currency 2" xfId="9" xr:uid="{00000000-0005-0000-0000-00000A000000}"/>
    <cellStyle name="Currency 3" xfId="3" xr:uid="{00000000-0005-0000-0000-00000B000000}"/>
    <cellStyle name="Currency 4" xfId="25" xr:uid="{00000000-0005-0000-0000-00000C000000}"/>
    <cellStyle name="Currency 4 2" xfId="37" xr:uid="{00000000-0005-0000-0000-000010000000}"/>
    <cellStyle name="DATA Amount" xfId="7" xr:uid="{00000000-0005-0000-0000-00000D000000}"/>
    <cellStyle name="DATA Amount [1]" xfId="15" xr:uid="{00000000-0005-0000-0000-00000E000000}"/>
    <cellStyle name="DATA Amount [2]" xfId="16" xr:uid="{00000000-0005-0000-0000-00000F000000}"/>
    <cellStyle name="DATA Currency" xfId="13" xr:uid="{00000000-0005-0000-0000-000010000000}"/>
    <cellStyle name="DATA Currency [2]" xfId="19" xr:uid="{00000000-0005-0000-0000-000011000000}"/>
    <cellStyle name="DATA Percent" xfId="8" xr:uid="{00000000-0005-0000-0000-000012000000}"/>
    <cellStyle name="DATA Percent [1]" xfId="17" xr:uid="{00000000-0005-0000-0000-000013000000}"/>
    <cellStyle name="DATA Percent [2]" xfId="14" xr:uid="{00000000-0005-0000-0000-000014000000}"/>
    <cellStyle name="Good" xfId="31" builtinId="26"/>
    <cellStyle name="Heading 3" xfId="30" builtinId="18"/>
    <cellStyle name="heading,2" xfId="4" xr:uid="{00000000-0005-0000-0000-000015000000}"/>
    <cellStyle name="heading,2 2" xfId="39" xr:uid="{9D38556C-8F62-46EE-81E5-1A50813A608B}"/>
    <cellStyle name="Hyperlink" xfId="35" builtinId="8"/>
    <cellStyle name="Normal" xfId="0" builtinId="0"/>
    <cellStyle name="Normal 2" xfId="5" xr:uid="{00000000-0005-0000-0000-000017000000}"/>
    <cellStyle name="Normal 2 2" xfId="10" xr:uid="{00000000-0005-0000-0000-000018000000}"/>
    <cellStyle name="Normal 3" xfId="26" xr:uid="{00000000-0005-0000-0000-000019000000}"/>
    <cellStyle name="Normal 3 2" xfId="40" xr:uid="{31F4B86D-356F-4F7B-ADF8-C6ADE07FF65C}"/>
    <cellStyle name="Normal 4" xfId="38" xr:uid="{E2775040-20F3-43E6-9143-8C9E9000B02C}"/>
    <cellStyle name="Percent" xfId="1" builtinId="5"/>
    <cellStyle name="Percent 2" xfId="27" xr:uid="{00000000-0005-0000-0000-00001B000000}"/>
    <cellStyle name="Percent 2 2" xfId="6" xr:uid="{00000000-0005-0000-0000-00001C000000}"/>
  </cellStyles>
  <dxfs count="54">
    <dxf>
      <font>
        <color theme="1"/>
      </font>
      <fill>
        <patternFill>
          <bgColor rgb="FF92D050"/>
        </patternFill>
      </fill>
    </dxf>
    <dxf>
      <font>
        <color rgb="FFFF0000"/>
      </font>
      <fill>
        <patternFill>
          <bgColor theme="5" tint="0.59996337778862885"/>
        </patternFill>
      </fill>
    </dxf>
    <dxf>
      <font>
        <color theme="1"/>
      </font>
      <fill>
        <patternFill>
          <bgColor rgb="FF92D050"/>
        </patternFill>
      </fill>
    </dxf>
    <dxf>
      <font>
        <color rgb="FFFF0000"/>
      </font>
      <fill>
        <patternFill>
          <bgColor theme="5" tint="0.59996337778862885"/>
        </patternFill>
      </fill>
    </dxf>
    <dxf>
      <font>
        <color theme="1"/>
      </font>
      <fill>
        <patternFill>
          <bgColor rgb="FF92D050"/>
        </patternFill>
      </fill>
    </dxf>
    <dxf>
      <font>
        <color rgb="FFFF0000"/>
      </font>
      <fill>
        <patternFill>
          <bgColor theme="5" tint="0.59996337778862885"/>
        </patternFill>
      </fill>
    </dxf>
    <dxf>
      <font>
        <color theme="1"/>
      </font>
      <fill>
        <patternFill>
          <bgColor rgb="FF92D050"/>
        </patternFill>
      </fill>
    </dxf>
    <dxf>
      <font>
        <color rgb="FFFF0000"/>
      </font>
      <fill>
        <patternFill>
          <bgColor theme="5" tint="0.59996337778862885"/>
        </patternFill>
      </fill>
    </dxf>
    <dxf>
      <font>
        <color rgb="FFFFFFFF"/>
      </font>
      <fill>
        <patternFill>
          <bgColor rgb="FFFF0000"/>
        </patternFill>
      </fill>
      <border>
        <left style="dashed">
          <color indexed="64"/>
        </left>
        <right style="dashed">
          <color indexed="64"/>
        </right>
        <top style="dashed">
          <color indexed="64"/>
        </top>
        <bottom style="dashed">
          <color indexed="64"/>
        </bottom>
      </border>
    </dxf>
    <dxf>
      <font>
        <color rgb="FF000000"/>
      </font>
      <fill>
        <patternFill>
          <bgColor rgb="FF00FF00"/>
        </patternFill>
      </fill>
      <border>
        <left style="dashed">
          <color indexed="64"/>
        </left>
        <right style="dashed">
          <color indexed="64"/>
        </right>
        <top style="dashed">
          <color indexed="64"/>
        </top>
        <bottom style="dashed">
          <color indexed="64"/>
        </bottom>
      </border>
    </dxf>
    <dxf>
      <font>
        <color rgb="FFFFFFFF"/>
      </font>
      <fill>
        <patternFill>
          <bgColor rgb="FFFF0000"/>
        </patternFill>
      </fill>
      <border>
        <left style="dashed">
          <color indexed="64"/>
        </left>
        <right style="dashed">
          <color indexed="64"/>
        </right>
        <top style="dashed">
          <color indexed="64"/>
        </top>
        <bottom style="dashed">
          <color indexed="64"/>
        </bottom>
      </border>
    </dxf>
    <dxf>
      <font>
        <color rgb="FF000000"/>
      </font>
      <fill>
        <patternFill>
          <bgColor rgb="FF00FF00"/>
        </patternFill>
      </fill>
      <border>
        <left style="dashed">
          <color indexed="64"/>
        </left>
        <right style="dashed">
          <color indexed="64"/>
        </right>
        <top style="dashed">
          <color indexed="64"/>
        </top>
        <bottom style="dashed">
          <color indexed="64"/>
        </bottom>
      </border>
    </dxf>
    <dxf>
      <font>
        <color rgb="FF002060"/>
      </font>
    </dxf>
    <dxf>
      <font>
        <color rgb="FFC00000"/>
      </font>
    </dxf>
    <dxf>
      <font>
        <color theme="4" tint="-0.499984740745262"/>
      </font>
    </dxf>
    <dxf>
      <font>
        <color rgb="FF002060"/>
      </font>
    </dxf>
    <dxf>
      <font>
        <color rgb="FFC00000"/>
      </font>
    </dxf>
    <dxf>
      <font>
        <color theme="4" tint="-0.499984740745262"/>
      </font>
    </dxf>
    <dxf>
      <font>
        <color rgb="FF002060"/>
      </font>
    </dxf>
    <dxf>
      <font>
        <color rgb="FFC00000"/>
      </font>
    </dxf>
    <dxf>
      <font>
        <color theme="4" tint="-0.499984740745262"/>
      </font>
    </dxf>
    <dxf>
      <font>
        <color rgb="FF002060"/>
      </font>
    </dxf>
    <dxf>
      <font>
        <color rgb="FFC00000"/>
      </font>
    </dxf>
    <dxf>
      <font>
        <color theme="4" tint="-0.499984740745262"/>
      </font>
    </dxf>
    <dxf>
      <font>
        <color rgb="FF002060"/>
      </font>
    </dxf>
    <dxf>
      <font>
        <color rgb="FFC00000"/>
      </font>
    </dxf>
    <dxf>
      <font>
        <color theme="4" tint="-0.499984740745262"/>
      </font>
    </dxf>
    <dxf>
      <font>
        <color rgb="FFFFFFFF"/>
      </font>
      <fill>
        <patternFill>
          <bgColor rgb="FFFF0000"/>
        </patternFill>
      </fill>
      <border>
        <left style="dashed">
          <color indexed="64"/>
        </left>
        <right style="dashed">
          <color indexed="64"/>
        </right>
        <top style="dashed">
          <color indexed="64"/>
        </top>
        <bottom style="dashed">
          <color indexed="64"/>
        </bottom>
      </border>
    </dxf>
    <dxf>
      <font>
        <color rgb="FF000000"/>
      </font>
      <fill>
        <patternFill>
          <bgColor rgb="FF00FF00"/>
        </patternFill>
      </fill>
      <border>
        <left style="dashed">
          <color indexed="64"/>
        </left>
        <right style="dashed">
          <color indexed="64"/>
        </right>
        <top style="dashed">
          <color indexed="64"/>
        </top>
        <bottom style="dashed">
          <color indexed="64"/>
        </bottom>
      </border>
    </dxf>
    <dxf>
      <font>
        <color rgb="FFFFFFFF"/>
      </font>
      <fill>
        <patternFill>
          <bgColor rgb="FFFF0000"/>
        </patternFill>
      </fill>
      <border>
        <left style="dashed">
          <color indexed="64"/>
        </left>
        <right style="dashed">
          <color indexed="64"/>
        </right>
        <top style="dashed">
          <color indexed="64"/>
        </top>
        <bottom style="dashed">
          <color indexed="64"/>
        </bottom>
      </border>
    </dxf>
    <dxf>
      <font>
        <color rgb="FF000000"/>
      </font>
      <fill>
        <patternFill>
          <bgColor rgb="FF00FF00"/>
        </patternFill>
      </fill>
      <border>
        <left style="dashed">
          <color indexed="64"/>
        </left>
        <right style="dashed">
          <color indexed="64"/>
        </right>
        <top style="dashed">
          <color indexed="64"/>
        </top>
        <bottom style="dashed">
          <color indexed="64"/>
        </bottom>
      </border>
    </dxf>
    <dxf>
      <font>
        <color rgb="FF002060"/>
      </font>
    </dxf>
    <dxf>
      <font>
        <color rgb="FF002060"/>
      </font>
    </dxf>
    <dxf>
      <font>
        <color rgb="FFC00000"/>
      </font>
    </dxf>
    <dxf>
      <font>
        <color rgb="FFC00000"/>
      </font>
    </dxf>
    <dxf>
      <font>
        <color theme="4" tint="-0.499984740745262"/>
      </font>
    </dxf>
    <dxf>
      <font>
        <color theme="4" tint="-0.499984740745262"/>
      </font>
    </dxf>
    <dxf>
      <font>
        <color rgb="FF002060"/>
      </font>
    </dxf>
    <dxf>
      <font>
        <color rgb="FFC00000"/>
      </font>
    </dxf>
    <dxf>
      <font>
        <color rgb="FF002060"/>
      </font>
    </dxf>
    <dxf>
      <font>
        <color rgb="FFC00000"/>
      </font>
    </dxf>
    <dxf>
      <font>
        <color theme="4" tint="-0.499984740745262"/>
      </font>
    </dxf>
    <dxf>
      <font>
        <color theme="4" tint="-0.499984740745262"/>
      </font>
    </dxf>
    <dxf>
      <font>
        <color rgb="FF002060"/>
      </font>
    </dxf>
    <dxf>
      <font>
        <color rgb="FFC00000"/>
      </font>
    </dxf>
    <dxf>
      <font>
        <color theme="4" tint="-0.499984740745262"/>
      </font>
    </dxf>
    <dxf>
      <font>
        <color theme="1"/>
      </font>
      <fill>
        <patternFill>
          <bgColor rgb="FFFFFF00"/>
        </patternFill>
      </fill>
      <border>
        <left style="thin">
          <color auto="1"/>
        </left>
        <right style="thin">
          <color auto="1"/>
        </right>
        <top style="thin">
          <color auto="1"/>
        </top>
        <bottom style="thin">
          <color auto="1"/>
        </bottom>
        <vertical/>
        <horizontal/>
      </border>
    </dxf>
    <dxf>
      <font>
        <color theme="1"/>
      </font>
      <fill>
        <patternFill>
          <bgColor rgb="FFFFFF00"/>
        </patternFill>
      </fill>
      <border>
        <left style="thin">
          <color auto="1"/>
        </left>
        <right style="thin">
          <color auto="1"/>
        </right>
        <top style="thin">
          <color auto="1"/>
        </top>
        <bottom style="thin">
          <color auto="1"/>
        </bottom>
        <vertical/>
        <horizontal/>
      </border>
    </dxf>
    <dxf>
      <font>
        <color theme="2" tint="-0.749961851863155"/>
      </font>
      <fill>
        <patternFill>
          <bgColor theme="2" tint="-0.749961851863155"/>
        </patternFill>
      </fill>
    </dxf>
    <dxf>
      <font>
        <color theme="2" tint="-0.749961851863155"/>
      </font>
      <fill>
        <patternFill>
          <bgColor theme="2" tint="-0.749961851863155"/>
        </patternFill>
      </fill>
    </dxf>
    <dxf>
      <font>
        <color theme="2" tint="-0.749961851863155"/>
      </font>
      <fill>
        <patternFill>
          <bgColor theme="2" tint="-0.749961851863155"/>
        </patternFill>
      </fill>
    </dxf>
    <dxf>
      <font>
        <color theme="2" tint="-0.749961851863155"/>
      </font>
      <fill>
        <patternFill>
          <bgColor theme="2" tint="-0.749961851863155"/>
        </patternFill>
      </fill>
    </dxf>
    <dxf>
      <font>
        <color theme="1"/>
      </font>
      <fill>
        <patternFill>
          <bgColor rgb="FFFFFF00"/>
        </patternFill>
      </fill>
      <border>
        <left style="thin">
          <color auto="1"/>
        </left>
        <right style="thin">
          <color auto="1"/>
        </right>
        <top style="thin">
          <color auto="1"/>
        </top>
        <bottom style="thin">
          <color auto="1"/>
        </bottom>
        <vertical/>
        <horizontal/>
      </border>
    </dxf>
    <dxf>
      <font>
        <color theme="1"/>
      </font>
      <fill>
        <patternFill>
          <bgColor rgb="FFFFFF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3399"/>
      <color rgb="FF9F5FCF"/>
      <color rgb="FFFFCCCC"/>
      <color rgb="FFCC99FF"/>
      <color rgb="FF861212"/>
      <color rgb="FF6666FF"/>
      <color rgb="FF663300"/>
      <color rgb="FFFF9900"/>
      <color rgb="FF71FFB1"/>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image" Target="../media/image4.JP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13" Type="http://schemas.openxmlformats.org/officeDocument/2006/relationships/image" Target="../media/image15.png"/><Relationship Id="rId3" Type="http://schemas.microsoft.com/office/2007/relationships/hdphoto" Target="../media/hdphoto1.wdp"/><Relationship Id="rId7" Type="http://schemas.openxmlformats.org/officeDocument/2006/relationships/image" Target="../media/image10.png"/><Relationship Id="rId12" Type="http://schemas.microsoft.com/office/2007/relationships/hdphoto" Target="../media/hdphoto2.wdp"/><Relationship Id="rId17" Type="http://schemas.microsoft.com/office/2007/relationships/hdphoto" Target="../media/hdphoto4.wdp"/><Relationship Id="rId2" Type="http://schemas.openxmlformats.org/officeDocument/2006/relationships/image" Target="../media/image7.png"/><Relationship Id="rId16" Type="http://schemas.openxmlformats.org/officeDocument/2006/relationships/image" Target="../media/image17.png"/><Relationship Id="rId1" Type="http://schemas.openxmlformats.org/officeDocument/2006/relationships/image" Target="../media/image6.png"/><Relationship Id="rId6" Type="http://schemas.openxmlformats.org/officeDocument/2006/relationships/image" Target="../media/image5.png"/><Relationship Id="rId11" Type="http://schemas.openxmlformats.org/officeDocument/2006/relationships/image" Target="../media/image14.png"/><Relationship Id="rId5" Type="http://schemas.openxmlformats.org/officeDocument/2006/relationships/image" Target="../media/image9.png"/><Relationship Id="rId15" Type="http://schemas.openxmlformats.org/officeDocument/2006/relationships/image" Target="../media/image16.png"/><Relationship Id="rId10" Type="http://schemas.openxmlformats.org/officeDocument/2006/relationships/image" Target="../media/image13.png"/><Relationship Id="rId4" Type="http://schemas.openxmlformats.org/officeDocument/2006/relationships/image" Target="../media/image8.png"/><Relationship Id="rId9" Type="http://schemas.openxmlformats.org/officeDocument/2006/relationships/image" Target="../media/image12.png"/><Relationship Id="rId14" Type="http://schemas.microsoft.com/office/2007/relationships/hdphoto" Target="../media/hdphoto3.wdp"/></Relationships>
</file>

<file path=xl/drawings/drawing1.xml><?xml version="1.0" encoding="utf-8"?>
<xdr:wsDr xmlns:xdr="http://schemas.openxmlformats.org/drawingml/2006/spreadsheetDrawing" xmlns:a="http://schemas.openxmlformats.org/drawingml/2006/main">
  <xdr:twoCellAnchor>
    <xdr:from>
      <xdr:col>3</xdr:col>
      <xdr:colOff>528137</xdr:colOff>
      <xdr:row>17</xdr:row>
      <xdr:rowOff>47626</xdr:rowOff>
    </xdr:from>
    <xdr:to>
      <xdr:col>17</xdr:col>
      <xdr:colOff>433886</xdr:colOff>
      <xdr:row>31</xdr:row>
      <xdr:rowOff>19049</xdr:rowOff>
    </xdr:to>
    <xdr:grpSp>
      <xdr:nvGrpSpPr>
        <xdr:cNvPr id="2" name="Group 1">
          <a:extLst>
            <a:ext uri="{FF2B5EF4-FFF2-40B4-BE49-F238E27FC236}">
              <a16:creationId xmlns:a16="http://schemas.microsoft.com/office/drawing/2014/main" id="{DE709356-6AD5-4FD6-8B25-C263A0A32FB0}"/>
            </a:ext>
          </a:extLst>
        </xdr:cNvPr>
        <xdr:cNvGrpSpPr/>
      </xdr:nvGrpSpPr>
      <xdr:grpSpPr>
        <a:xfrm>
          <a:off x="1918787" y="3305176"/>
          <a:ext cx="8440149" cy="2638423"/>
          <a:chOff x="2976062" y="4267073"/>
          <a:chExt cx="8440149" cy="2629628"/>
        </a:xfrm>
      </xdr:grpSpPr>
      <xdr:pic>
        <xdr:nvPicPr>
          <xdr:cNvPr id="3" name="Picture 2">
            <a:extLst>
              <a:ext uri="{FF2B5EF4-FFF2-40B4-BE49-F238E27FC236}">
                <a16:creationId xmlns:a16="http://schemas.microsoft.com/office/drawing/2014/main" id="{6FA9C2B1-DB95-4D30-A47C-DF53193FC3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76062" y="4380191"/>
            <a:ext cx="8440149" cy="2031442"/>
          </a:xfrm>
          <a:prstGeom prst="rect">
            <a:avLst/>
          </a:prstGeom>
        </xdr:spPr>
      </xdr:pic>
      <xdr:sp macro="" textlink="">
        <xdr:nvSpPr>
          <xdr:cNvPr id="4" name="Speech Bubble: Rectangle with Corners Rounded 3">
            <a:extLst>
              <a:ext uri="{FF2B5EF4-FFF2-40B4-BE49-F238E27FC236}">
                <a16:creationId xmlns:a16="http://schemas.microsoft.com/office/drawing/2014/main" id="{7484730E-3A61-4FE0-A94A-9A4006BF3907}"/>
              </a:ext>
            </a:extLst>
          </xdr:cNvPr>
          <xdr:cNvSpPr/>
        </xdr:nvSpPr>
        <xdr:spPr>
          <a:xfrm>
            <a:off x="4276726" y="4267073"/>
            <a:ext cx="1533524" cy="362903"/>
          </a:xfrm>
          <a:prstGeom prst="wedgeRoundRectCallout">
            <a:avLst>
              <a:gd name="adj1" fmla="val 7157"/>
              <a:gd name="adj2" fmla="val 13158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1050"/>
              <a:t>2.</a:t>
            </a:r>
            <a:r>
              <a:rPr lang="en-ZA" sz="1050" baseline="0"/>
              <a:t> </a:t>
            </a:r>
            <a:r>
              <a:rPr lang="en-ZA" sz="1050"/>
              <a:t>Select your province.</a:t>
            </a:r>
            <a:endParaRPr lang="en-ZA" sz="1050" i="1"/>
          </a:p>
        </xdr:txBody>
      </xdr:sp>
      <xdr:sp macro="" textlink="">
        <xdr:nvSpPr>
          <xdr:cNvPr id="5" name="Speech Bubble: Rectangle with Corners Rounded 4">
            <a:extLst>
              <a:ext uri="{FF2B5EF4-FFF2-40B4-BE49-F238E27FC236}">
                <a16:creationId xmlns:a16="http://schemas.microsoft.com/office/drawing/2014/main" id="{4B20D50B-5788-4783-B05F-CB4AA447C839}"/>
              </a:ext>
            </a:extLst>
          </xdr:cNvPr>
          <xdr:cNvSpPr/>
        </xdr:nvSpPr>
        <xdr:spPr>
          <a:xfrm>
            <a:off x="4314825" y="5681631"/>
            <a:ext cx="3143250" cy="816356"/>
          </a:xfrm>
          <a:prstGeom prst="wedgeRoundRectCallout">
            <a:avLst>
              <a:gd name="adj1" fmla="val 16869"/>
              <a:gd name="adj2" fmla="val -6820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1050"/>
              <a:t>3. Select proposed</a:t>
            </a:r>
            <a:r>
              <a:rPr lang="en-ZA" sz="1050" baseline="0"/>
              <a:t> production system</a:t>
            </a:r>
            <a:endParaRPr lang="en-ZA" sz="1050"/>
          </a:p>
          <a:p>
            <a:pPr algn="l"/>
            <a:r>
              <a:rPr lang="en-ZA" sz="1050" i="1" baseline="0"/>
              <a:t>* NB - Only RAS and Pond can be used. Pond is only for select species (pop up box will appear with more info)</a:t>
            </a:r>
            <a:endParaRPr lang="en-ZA" sz="1050" i="1"/>
          </a:p>
        </xdr:txBody>
      </xdr:sp>
      <xdr:sp macro="" textlink="">
        <xdr:nvSpPr>
          <xdr:cNvPr id="6" name="Speech Bubble: Rectangle with Corners Rounded 5">
            <a:extLst>
              <a:ext uri="{FF2B5EF4-FFF2-40B4-BE49-F238E27FC236}">
                <a16:creationId xmlns:a16="http://schemas.microsoft.com/office/drawing/2014/main" id="{48A35CB5-6C65-48C1-B1E6-1906FE22D2D1}"/>
              </a:ext>
            </a:extLst>
          </xdr:cNvPr>
          <xdr:cNvSpPr/>
        </xdr:nvSpPr>
        <xdr:spPr>
          <a:xfrm>
            <a:off x="6867525" y="4328763"/>
            <a:ext cx="1704975" cy="495301"/>
          </a:xfrm>
          <a:prstGeom prst="wedgeRoundRectCallout">
            <a:avLst>
              <a:gd name="adj1" fmla="val 8458"/>
              <a:gd name="adj2" fmla="val 7750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1050"/>
              <a:t>4. Select the</a:t>
            </a:r>
            <a:r>
              <a:rPr lang="en-ZA" sz="1050" baseline="0"/>
              <a:t> target market</a:t>
            </a:r>
            <a:endParaRPr lang="en-ZA" sz="1050"/>
          </a:p>
          <a:p>
            <a:pPr algn="l"/>
            <a:r>
              <a:rPr lang="en-ZA" sz="1050" i="1" baseline="0"/>
              <a:t>* Local or International .</a:t>
            </a:r>
            <a:endParaRPr lang="en-ZA" sz="1050" i="1"/>
          </a:p>
        </xdr:txBody>
      </xdr:sp>
      <xdr:sp macro="" textlink="">
        <xdr:nvSpPr>
          <xdr:cNvPr id="7" name="Speech Bubble: Rectangle with Corners Rounded 6">
            <a:extLst>
              <a:ext uri="{FF2B5EF4-FFF2-40B4-BE49-F238E27FC236}">
                <a16:creationId xmlns:a16="http://schemas.microsoft.com/office/drawing/2014/main" id="{B9612703-84F1-4AB6-A000-5F0A183478DB}"/>
              </a:ext>
            </a:extLst>
          </xdr:cNvPr>
          <xdr:cNvSpPr/>
        </xdr:nvSpPr>
        <xdr:spPr>
          <a:xfrm>
            <a:off x="7743825" y="6068409"/>
            <a:ext cx="2076449" cy="828292"/>
          </a:xfrm>
          <a:prstGeom prst="wedgeRoundRectCallout">
            <a:avLst>
              <a:gd name="adj1" fmla="val 9707"/>
              <a:gd name="adj2" fmla="val -11695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1050"/>
              <a:t>5.</a:t>
            </a:r>
            <a:r>
              <a:rPr lang="en-ZA" sz="1050" baseline="0"/>
              <a:t> Select proposed selling price - Selling price is either calculated as R/fish -  </a:t>
            </a:r>
            <a:r>
              <a:rPr lang="en-ZA" sz="1050" i="1" baseline="0"/>
              <a:t>Impacts on financials and profits.</a:t>
            </a:r>
          </a:p>
        </xdr:txBody>
      </xdr:sp>
    </xdr:grpSp>
    <xdr:clientData/>
  </xdr:twoCellAnchor>
  <xdr:twoCellAnchor>
    <xdr:from>
      <xdr:col>1</xdr:col>
      <xdr:colOff>28706</xdr:colOff>
      <xdr:row>34</xdr:row>
      <xdr:rowOff>0</xdr:rowOff>
    </xdr:from>
    <xdr:to>
      <xdr:col>19</xdr:col>
      <xdr:colOff>828675</xdr:colOff>
      <xdr:row>51</xdr:row>
      <xdr:rowOff>114299</xdr:rowOff>
    </xdr:to>
    <xdr:grpSp>
      <xdr:nvGrpSpPr>
        <xdr:cNvPr id="8" name="Group 7">
          <a:extLst>
            <a:ext uri="{FF2B5EF4-FFF2-40B4-BE49-F238E27FC236}">
              <a16:creationId xmlns:a16="http://schemas.microsoft.com/office/drawing/2014/main" id="{142FF8EB-2813-4CFA-961F-E183C73ACEB6}"/>
            </a:ext>
          </a:extLst>
        </xdr:cNvPr>
        <xdr:cNvGrpSpPr/>
      </xdr:nvGrpSpPr>
      <xdr:grpSpPr>
        <a:xfrm>
          <a:off x="200156" y="6515100"/>
          <a:ext cx="11772769" cy="3352799"/>
          <a:chOff x="638175" y="7496175"/>
          <a:chExt cx="12054524" cy="3352799"/>
        </a:xfrm>
      </xdr:grpSpPr>
      <xdr:pic>
        <xdr:nvPicPr>
          <xdr:cNvPr id="9" name="Picture 8">
            <a:extLst>
              <a:ext uri="{FF2B5EF4-FFF2-40B4-BE49-F238E27FC236}">
                <a16:creationId xmlns:a16="http://schemas.microsoft.com/office/drawing/2014/main" id="{22CFFF08-08ED-4880-AE3F-025781FBA17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05979" y="8027081"/>
            <a:ext cx="7831999" cy="2307501"/>
          </a:xfrm>
          <a:prstGeom prst="rect">
            <a:avLst/>
          </a:prstGeom>
        </xdr:spPr>
      </xdr:pic>
      <xdr:sp macro="" textlink="">
        <xdr:nvSpPr>
          <xdr:cNvPr id="10" name="Speech Bubble: Rectangle with Corners Rounded 9">
            <a:extLst>
              <a:ext uri="{FF2B5EF4-FFF2-40B4-BE49-F238E27FC236}">
                <a16:creationId xmlns:a16="http://schemas.microsoft.com/office/drawing/2014/main" id="{75819B70-29E4-44A5-95AC-574FF1F1E77C}"/>
              </a:ext>
            </a:extLst>
          </xdr:cNvPr>
          <xdr:cNvSpPr/>
        </xdr:nvSpPr>
        <xdr:spPr>
          <a:xfrm>
            <a:off x="638175" y="7600950"/>
            <a:ext cx="2219324" cy="457199"/>
          </a:xfrm>
          <a:prstGeom prst="wedgeRoundRectCallout">
            <a:avLst>
              <a:gd name="adj1" fmla="val 57003"/>
              <a:gd name="adj2" fmla="val 15734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1000"/>
              <a:t>1.</a:t>
            </a:r>
            <a:r>
              <a:rPr lang="en-ZA" sz="1000" baseline="0"/>
              <a:t> </a:t>
            </a:r>
            <a:r>
              <a:rPr lang="en-ZA" sz="1000"/>
              <a:t>Are</a:t>
            </a:r>
            <a:r>
              <a:rPr lang="en-ZA" sz="1000" baseline="0"/>
              <a:t> </a:t>
            </a:r>
            <a:r>
              <a:rPr lang="en-ZA" sz="1000"/>
              <a:t>you a start-up farmer or existing aquaculture</a:t>
            </a:r>
            <a:r>
              <a:rPr lang="en-ZA" sz="1000" baseline="0"/>
              <a:t> producer?</a:t>
            </a:r>
            <a:endParaRPr lang="en-ZA" sz="1000" i="1"/>
          </a:p>
        </xdr:txBody>
      </xdr:sp>
      <xdr:sp macro="" textlink="">
        <xdr:nvSpPr>
          <xdr:cNvPr id="11" name="Speech Bubble: Rectangle with Corners Rounded 10">
            <a:extLst>
              <a:ext uri="{FF2B5EF4-FFF2-40B4-BE49-F238E27FC236}">
                <a16:creationId xmlns:a16="http://schemas.microsoft.com/office/drawing/2014/main" id="{16E448CE-2BFD-4348-A1F0-01A6E43BB555}"/>
              </a:ext>
            </a:extLst>
          </xdr:cNvPr>
          <xdr:cNvSpPr/>
        </xdr:nvSpPr>
        <xdr:spPr>
          <a:xfrm>
            <a:off x="4019549" y="7496175"/>
            <a:ext cx="1419226" cy="476249"/>
          </a:xfrm>
          <a:prstGeom prst="wedgeRoundRectCallout">
            <a:avLst>
              <a:gd name="adj1" fmla="val -31782"/>
              <a:gd name="adj2" fmla="val 15611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1000"/>
              <a:t>2. Do you own a farm</a:t>
            </a:r>
            <a:r>
              <a:rPr lang="en-ZA" sz="1000" baseline="0"/>
              <a:t>/access to land?</a:t>
            </a:r>
            <a:endParaRPr lang="en-ZA" sz="1000" i="1"/>
          </a:p>
        </xdr:txBody>
      </xdr:sp>
      <xdr:sp macro="" textlink="">
        <xdr:nvSpPr>
          <xdr:cNvPr id="12" name="Speech Bubble: Rectangle with Corners Rounded 11">
            <a:extLst>
              <a:ext uri="{FF2B5EF4-FFF2-40B4-BE49-F238E27FC236}">
                <a16:creationId xmlns:a16="http://schemas.microsoft.com/office/drawing/2014/main" id="{0F532F7F-72A3-4216-9707-D5D688ED9035}"/>
              </a:ext>
            </a:extLst>
          </xdr:cNvPr>
          <xdr:cNvSpPr/>
        </xdr:nvSpPr>
        <xdr:spPr>
          <a:xfrm>
            <a:off x="5829066" y="7591425"/>
            <a:ext cx="1419226" cy="476249"/>
          </a:xfrm>
          <a:prstGeom prst="wedgeRoundRectCallout">
            <a:avLst>
              <a:gd name="adj1" fmla="val 15340"/>
              <a:gd name="adj2" fmla="val 12811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1000"/>
              <a:t>3. Do you have an investor</a:t>
            </a:r>
            <a:r>
              <a:rPr lang="en-ZA" sz="1000" baseline="0"/>
              <a:t>?</a:t>
            </a:r>
            <a:endParaRPr lang="en-ZA" sz="1000" i="1"/>
          </a:p>
        </xdr:txBody>
      </xdr:sp>
      <xdr:sp macro="" textlink="">
        <xdr:nvSpPr>
          <xdr:cNvPr id="13" name="Speech Bubble: Rectangle with Corners Rounded 12">
            <a:extLst>
              <a:ext uri="{FF2B5EF4-FFF2-40B4-BE49-F238E27FC236}">
                <a16:creationId xmlns:a16="http://schemas.microsoft.com/office/drawing/2014/main" id="{50287CB4-AF12-415E-A61F-D82CA1D2B637}"/>
              </a:ext>
            </a:extLst>
          </xdr:cNvPr>
          <xdr:cNvSpPr/>
        </xdr:nvSpPr>
        <xdr:spPr>
          <a:xfrm>
            <a:off x="7695806" y="7505700"/>
            <a:ext cx="2190752" cy="476250"/>
          </a:xfrm>
          <a:prstGeom prst="wedgeRoundRectCallout">
            <a:avLst>
              <a:gd name="adj1" fmla="val -13421"/>
              <a:gd name="adj2" fmla="val 13211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1000"/>
              <a:t>4. Will you be financing it yourself, with</a:t>
            </a:r>
            <a:r>
              <a:rPr lang="en-ZA" sz="1000" baseline="0"/>
              <a:t> a grant or debt/quity loan?</a:t>
            </a:r>
            <a:endParaRPr lang="en-ZA" sz="1000" i="1"/>
          </a:p>
        </xdr:txBody>
      </xdr:sp>
      <xdr:sp macro="" textlink="">
        <xdr:nvSpPr>
          <xdr:cNvPr id="14" name="Speech Bubble: Rectangle with Corners Rounded 13">
            <a:extLst>
              <a:ext uri="{FF2B5EF4-FFF2-40B4-BE49-F238E27FC236}">
                <a16:creationId xmlns:a16="http://schemas.microsoft.com/office/drawing/2014/main" id="{091BA364-A47D-4E77-BBBB-01339171E40D}"/>
              </a:ext>
            </a:extLst>
          </xdr:cNvPr>
          <xdr:cNvSpPr/>
        </xdr:nvSpPr>
        <xdr:spPr>
          <a:xfrm>
            <a:off x="10115549" y="7505700"/>
            <a:ext cx="2419349" cy="790575"/>
          </a:xfrm>
          <a:prstGeom prst="wedgeRoundRectCallout">
            <a:avLst>
              <a:gd name="adj1" fmla="val -51894"/>
              <a:gd name="adj2" fmla="val 737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1000"/>
              <a:t>5. If a loan</a:t>
            </a:r>
            <a:r>
              <a:rPr lang="en-ZA" sz="1000" baseline="0"/>
              <a:t> (debt/equity), what debt % will you contribute? *</a:t>
            </a:r>
            <a:r>
              <a:rPr lang="en-ZA" sz="1000" i="1" baseline="0"/>
              <a:t>NB - if selecting debt or equity, the % debt is not applicable.</a:t>
            </a:r>
            <a:endParaRPr lang="en-ZA" sz="1000" i="1"/>
          </a:p>
        </xdr:txBody>
      </xdr:sp>
      <xdr:sp macro="" textlink="">
        <xdr:nvSpPr>
          <xdr:cNvPr id="15" name="Speech Bubble: Rectangle with Corners Rounded 14">
            <a:extLst>
              <a:ext uri="{FF2B5EF4-FFF2-40B4-BE49-F238E27FC236}">
                <a16:creationId xmlns:a16="http://schemas.microsoft.com/office/drawing/2014/main" id="{01320C84-4442-48AE-A4A8-DE004CDF927E}"/>
              </a:ext>
            </a:extLst>
          </xdr:cNvPr>
          <xdr:cNvSpPr/>
        </xdr:nvSpPr>
        <xdr:spPr>
          <a:xfrm>
            <a:off x="740848" y="10391775"/>
            <a:ext cx="2852340" cy="457199"/>
          </a:xfrm>
          <a:prstGeom prst="wedgeRoundRectCallout">
            <a:avLst>
              <a:gd name="adj1" fmla="val 37224"/>
              <a:gd name="adj2" fmla="val -10323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1000"/>
              <a:t>6. Production cycle will automatically change depending on</a:t>
            </a:r>
            <a:r>
              <a:rPr lang="en-ZA" sz="1000" baseline="0"/>
              <a:t> species selected</a:t>
            </a:r>
            <a:endParaRPr lang="en-ZA" sz="1000" i="1"/>
          </a:p>
        </xdr:txBody>
      </xdr:sp>
      <xdr:sp macro="" textlink="">
        <xdr:nvSpPr>
          <xdr:cNvPr id="16" name="Speech Bubble: Rectangle with Corners Rounded 15">
            <a:extLst>
              <a:ext uri="{FF2B5EF4-FFF2-40B4-BE49-F238E27FC236}">
                <a16:creationId xmlns:a16="http://schemas.microsoft.com/office/drawing/2014/main" id="{CFC0338E-65BD-4F6D-B2F2-536267F3C2D8}"/>
              </a:ext>
            </a:extLst>
          </xdr:cNvPr>
          <xdr:cNvSpPr/>
        </xdr:nvSpPr>
        <xdr:spPr>
          <a:xfrm>
            <a:off x="3751094" y="10515600"/>
            <a:ext cx="2846005" cy="323850"/>
          </a:xfrm>
          <a:prstGeom prst="wedgeRoundRectCallout">
            <a:avLst>
              <a:gd name="adj1" fmla="val 3323"/>
              <a:gd name="adj2" fmla="val -16754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1000"/>
              <a:t>7. Do</a:t>
            </a:r>
            <a:r>
              <a:rPr lang="en-ZA" sz="1000" baseline="0"/>
              <a:t> you require a tunnel (greenhouse) system?</a:t>
            </a:r>
            <a:endParaRPr lang="en-ZA" sz="1000" i="1"/>
          </a:p>
        </xdr:txBody>
      </xdr:sp>
      <xdr:sp macro="" textlink="">
        <xdr:nvSpPr>
          <xdr:cNvPr id="17" name="Rectangle: Rounded Corners 16">
            <a:extLst>
              <a:ext uri="{FF2B5EF4-FFF2-40B4-BE49-F238E27FC236}">
                <a16:creationId xmlns:a16="http://schemas.microsoft.com/office/drawing/2014/main" id="{529D8D05-240B-4C1E-9758-B1AB79BE1C09}"/>
              </a:ext>
            </a:extLst>
          </xdr:cNvPr>
          <xdr:cNvSpPr/>
        </xdr:nvSpPr>
        <xdr:spPr>
          <a:xfrm>
            <a:off x="9534624" y="9220200"/>
            <a:ext cx="3158075" cy="1095375"/>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ZA" sz="1100"/>
              <a:t>This section determines what infrastucture you have</a:t>
            </a:r>
            <a:r>
              <a:rPr lang="en-ZA" sz="1100" baseline="0"/>
              <a:t> &amp; influences the capital expenditure required. Financial Info and education/skills level impacts on your level of "risk" which will impact your interest rate calculated.</a:t>
            </a:r>
            <a:endParaRPr lang="en-ZA" sz="1100"/>
          </a:p>
        </xdr:txBody>
      </xdr:sp>
    </xdr:grpSp>
    <xdr:clientData/>
  </xdr:twoCellAnchor>
  <xdr:twoCellAnchor>
    <xdr:from>
      <xdr:col>1</xdr:col>
      <xdr:colOff>19051</xdr:colOff>
      <xdr:row>54</xdr:row>
      <xdr:rowOff>800</xdr:rowOff>
    </xdr:from>
    <xdr:to>
      <xdr:col>20</xdr:col>
      <xdr:colOff>1</xdr:colOff>
      <xdr:row>72</xdr:row>
      <xdr:rowOff>1</xdr:rowOff>
    </xdr:to>
    <xdr:grpSp>
      <xdr:nvGrpSpPr>
        <xdr:cNvPr id="18" name="Group 17">
          <a:extLst>
            <a:ext uri="{FF2B5EF4-FFF2-40B4-BE49-F238E27FC236}">
              <a16:creationId xmlns:a16="http://schemas.microsoft.com/office/drawing/2014/main" id="{727B2E78-232E-47DB-BE5B-559BC7900EE2}"/>
            </a:ext>
          </a:extLst>
        </xdr:cNvPr>
        <xdr:cNvGrpSpPr/>
      </xdr:nvGrpSpPr>
      <xdr:grpSpPr>
        <a:xfrm>
          <a:off x="190501" y="10344950"/>
          <a:ext cx="11934825" cy="3437726"/>
          <a:chOff x="628651" y="9592525"/>
          <a:chExt cx="11934825" cy="3428150"/>
        </a:xfrm>
      </xdr:grpSpPr>
      <xdr:grpSp>
        <xdr:nvGrpSpPr>
          <xdr:cNvPr id="19" name="Group 18">
            <a:extLst>
              <a:ext uri="{FF2B5EF4-FFF2-40B4-BE49-F238E27FC236}">
                <a16:creationId xmlns:a16="http://schemas.microsoft.com/office/drawing/2014/main" id="{ED91ECC4-3B53-4296-A924-4A9CBDB72EA6}"/>
              </a:ext>
            </a:extLst>
          </xdr:cNvPr>
          <xdr:cNvGrpSpPr/>
        </xdr:nvGrpSpPr>
        <xdr:grpSpPr>
          <a:xfrm>
            <a:off x="628651" y="9592525"/>
            <a:ext cx="11925299" cy="3428150"/>
            <a:chOff x="628651" y="7430350"/>
            <a:chExt cx="11925299" cy="3428150"/>
          </a:xfrm>
        </xdr:grpSpPr>
        <xdr:pic>
          <xdr:nvPicPr>
            <xdr:cNvPr id="23" name="Picture 22">
              <a:extLst>
                <a:ext uri="{FF2B5EF4-FFF2-40B4-BE49-F238E27FC236}">
                  <a16:creationId xmlns:a16="http://schemas.microsoft.com/office/drawing/2014/main" id="{A994753E-A521-4877-822C-DC65EAE2027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40708" y="8218710"/>
              <a:ext cx="8182031" cy="1984395"/>
            </a:xfrm>
            <a:prstGeom prst="rect">
              <a:avLst/>
            </a:prstGeom>
          </xdr:spPr>
        </xdr:pic>
        <xdr:sp macro="" textlink="">
          <xdr:nvSpPr>
            <xdr:cNvPr id="24" name="Speech Bubble: Rectangle with Corners Rounded 23">
              <a:extLst>
                <a:ext uri="{FF2B5EF4-FFF2-40B4-BE49-F238E27FC236}">
                  <a16:creationId xmlns:a16="http://schemas.microsoft.com/office/drawing/2014/main" id="{BB606E65-DACD-4E99-99B2-946E8FBE3CF3}"/>
                </a:ext>
              </a:extLst>
            </xdr:cNvPr>
            <xdr:cNvSpPr/>
          </xdr:nvSpPr>
          <xdr:spPr>
            <a:xfrm>
              <a:off x="628651" y="7505699"/>
              <a:ext cx="1924050" cy="1149155"/>
            </a:xfrm>
            <a:prstGeom prst="wedgeRoundRectCallout">
              <a:avLst>
                <a:gd name="adj1" fmla="val 61667"/>
                <a:gd name="adj2" fmla="val 34215"/>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ZA" sz="1000"/>
                <a:t>1.</a:t>
              </a:r>
              <a:r>
                <a:rPr lang="en-ZA" sz="1000" baseline="0"/>
                <a:t> Your internal rate of return (IRR) - indicates the investment potential of the proposed project. Ideally should be above 15% but can be project dependant.</a:t>
              </a:r>
              <a:endParaRPr lang="en-ZA" sz="1000" i="1"/>
            </a:p>
          </xdr:txBody>
        </xdr:sp>
        <xdr:sp macro="" textlink="">
          <xdr:nvSpPr>
            <xdr:cNvPr id="25" name="Speech Bubble: Rectangle with Corners Rounded 24">
              <a:extLst>
                <a:ext uri="{FF2B5EF4-FFF2-40B4-BE49-F238E27FC236}">
                  <a16:creationId xmlns:a16="http://schemas.microsoft.com/office/drawing/2014/main" id="{A6544443-61E9-404C-93DE-AA87F8F3FBD4}"/>
                </a:ext>
              </a:extLst>
            </xdr:cNvPr>
            <xdr:cNvSpPr/>
          </xdr:nvSpPr>
          <xdr:spPr>
            <a:xfrm>
              <a:off x="3962400" y="7448550"/>
              <a:ext cx="3552825" cy="638175"/>
            </a:xfrm>
            <a:prstGeom prst="wedgeRoundRectCallout">
              <a:avLst>
                <a:gd name="adj1" fmla="val -22675"/>
                <a:gd name="adj2" fmla="val 114385"/>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ZA" sz="1000"/>
                <a:t>2. Profitability Index (PI)</a:t>
              </a:r>
              <a:r>
                <a:rPr lang="en-ZA" sz="1000" baseline="0"/>
                <a:t> - This should be above 1. Indicates what return on investment you will recieve. (ie if the PI is 1,20 then for every R1 spent, you get R1,20 back.</a:t>
              </a:r>
              <a:endParaRPr lang="en-ZA" sz="1000" i="1"/>
            </a:p>
          </xdr:txBody>
        </xdr:sp>
        <xdr:sp macro="" textlink="">
          <xdr:nvSpPr>
            <xdr:cNvPr id="26" name="Speech Bubble: Rectangle with Corners Rounded 25">
              <a:extLst>
                <a:ext uri="{FF2B5EF4-FFF2-40B4-BE49-F238E27FC236}">
                  <a16:creationId xmlns:a16="http://schemas.microsoft.com/office/drawing/2014/main" id="{F89677F1-2FA1-400B-AC8B-9E7DE09D4AA0}"/>
                </a:ext>
              </a:extLst>
            </xdr:cNvPr>
            <xdr:cNvSpPr/>
          </xdr:nvSpPr>
          <xdr:spPr>
            <a:xfrm>
              <a:off x="7800973" y="7458075"/>
              <a:ext cx="2381252" cy="476250"/>
            </a:xfrm>
            <a:prstGeom prst="wedgeRoundRectCallout">
              <a:avLst>
                <a:gd name="adj1" fmla="val -103487"/>
                <a:gd name="adj2" fmla="val 195896"/>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ZA" sz="1000"/>
                <a:t>3. Finance</a:t>
              </a:r>
              <a:r>
                <a:rPr lang="en-ZA" sz="1000" baseline="0"/>
                <a:t> required for working capital &amp; capital expenditure.</a:t>
              </a:r>
              <a:endParaRPr lang="en-ZA" sz="1000" i="1"/>
            </a:p>
          </xdr:txBody>
        </xdr:sp>
        <xdr:sp macro="" textlink="">
          <xdr:nvSpPr>
            <xdr:cNvPr id="27" name="Speech Bubble: Rectangle with Corners Rounded 26">
              <a:extLst>
                <a:ext uri="{FF2B5EF4-FFF2-40B4-BE49-F238E27FC236}">
                  <a16:creationId xmlns:a16="http://schemas.microsoft.com/office/drawing/2014/main" id="{712C9E69-A933-4A66-BFAD-DB8118A9D11B}"/>
                </a:ext>
              </a:extLst>
            </xdr:cNvPr>
            <xdr:cNvSpPr/>
          </xdr:nvSpPr>
          <xdr:spPr>
            <a:xfrm>
              <a:off x="10515599" y="7430350"/>
              <a:ext cx="2038351" cy="616603"/>
            </a:xfrm>
            <a:prstGeom prst="wedgeRoundRectCallout">
              <a:avLst>
                <a:gd name="adj1" fmla="val -136260"/>
                <a:gd name="adj2" fmla="val 104712"/>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ZA" sz="1000"/>
                <a:t>4. Interest rate is determined by the</a:t>
              </a:r>
              <a:r>
                <a:rPr lang="en-ZA" sz="1000" baseline="0"/>
                <a:t> model based on your risk. profile.</a:t>
              </a:r>
              <a:endParaRPr lang="en-ZA" sz="1000" i="1"/>
            </a:p>
          </xdr:txBody>
        </xdr:sp>
        <xdr:sp macro="" textlink="">
          <xdr:nvSpPr>
            <xdr:cNvPr id="28" name="Speech Bubble: Rectangle with Corners Rounded 27">
              <a:extLst>
                <a:ext uri="{FF2B5EF4-FFF2-40B4-BE49-F238E27FC236}">
                  <a16:creationId xmlns:a16="http://schemas.microsoft.com/office/drawing/2014/main" id="{C44A7D4F-3E13-457A-9A1B-49C34E84EDA6}"/>
                </a:ext>
              </a:extLst>
            </xdr:cNvPr>
            <xdr:cNvSpPr/>
          </xdr:nvSpPr>
          <xdr:spPr>
            <a:xfrm>
              <a:off x="638175" y="10210801"/>
              <a:ext cx="2381250" cy="638174"/>
            </a:xfrm>
            <a:prstGeom prst="wedgeRoundRectCallout">
              <a:avLst>
                <a:gd name="adj1" fmla="val 52351"/>
                <a:gd name="adj2" fmla="val -81372"/>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ZA" sz="1000"/>
                <a:t>6. Currently no</a:t>
              </a:r>
              <a:r>
                <a:rPr lang="en-ZA" sz="1000" baseline="0"/>
                <a:t> permits required for freshwater ornamental production in South Africa. </a:t>
              </a:r>
              <a:endParaRPr lang="en-ZA" sz="1000" i="1"/>
            </a:p>
          </xdr:txBody>
        </xdr:sp>
        <xdr:sp macro="" textlink="">
          <xdr:nvSpPr>
            <xdr:cNvPr id="29" name="Speech Bubble: Rectangle with Corners Rounded 28">
              <a:extLst>
                <a:ext uri="{FF2B5EF4-FFF2-40B4-BE49-F238E27FC236}">
                  <a16:creationId xmlns:a16="http://schemas.microsoft.com/office/drawing/2014/main" id="{95C377AB-1AA0-4480-A95D-E56FBA3D3F00}"/>
                </a:ext>
              </a:extLst>
            </xdr:cNvPr>
            <xdr:cNvSpPr/>
          </xdr:nvSpPr>
          <xdr:spPr>
            <a:xfrm>
              <a:off x="3352800" y="10277475"/>
              <a:ext cx="2219324" cy="581025"/>
            </a:xfrm>
            <a:prstGeom prst="wedgeRoundRectCallout">
              <a:avLst>
                <a:gd name="adj1" fmla="val 50634"/>
                <a:gd name="adj2" fmla="val -97814"/>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ZA" sz="1000"/>
                <a:t>7. Indicates how many years it will</a:t>
              </a:r>
              <a:r>
                <a:rPr lang="en-ZA" sz="1000" baseline="0"/>
                <a:t> take before the business is profitable.</a:t>
              </a:r>
              <a:endParaRPr lang="en-ZA" sz="1000" i="1"/>
            </a:p>
          </xdr:txBody>
        </xdr:sp>
        <xdr:sp macro="" textlink="">
          <xdr:nvSpPr>
            <xdr:cNvPr id="30" name="Speech Bubble: Rectangle with Corners Rounded 29">
              <a:extLst>
                <a:ext uri="{FF2B5EF4-FFF2-40B4-BE49-F238E27FC236}">
                  <a16:creationId xmlns:a16="http://schemas.microsoft.com/office/drawing/2014/main" id="{6B86F4BB-BAD2-48D9-983C-00226725AAC9}"/>
                </a:ext>
              </a:extLst>
            </xdr:cNvPr>
            <xdr:cNvSpPr/>
          </xdr:nvSpPr>
          <xdr:spPr>
            <a:xfrm>
              <a:off x="5829300" y="10163465"/>
              <a:ext cx="2219324" cy="676037"/>
            </a:xfrm>
            <a:prstGeom prst="wedgeRoundRectCallout">
              <a:avLst>
                <a:gd name="adj1" fmla="val -1297"/>
                <a:gd name="adj2" fmla="val -66898"/>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ZA" sz="1000"/>
                <a:t>8. Indicates how many years it will</a:t>
              </a:r>
              <a:r>
                <a:rPr lang="en-ZA" sz="1000" baseline="0"/>
                <a:t> take for the business to have a positive cash flow.</a:t>
              </a:r>
              <a:endParaRPr lang="en-ZA" sz="1000" i="1"/>
            </a:p>
          </xdr:txBody>
        </xdr:sp>
      </xdr:grpSp>
      <xdr:sp macro="" textlink="">
        <xdr:nvSpPr>
          <xdr:cNvPr id="20" name="Speech Bubble: Rectangle with Corners Rounded 19">
            <a:extLst>
              <a:ext uri="{FF2B5EF4-FFF2-40B4-BE49-F238E27FC236}">
                <a16:creationId xmlns:a16="http://schemas.microsoft.com/office/drawing/2014/main" id="{7DA48740-8B89-419C-9BEE-9B4D7DD9B04E}"/>
              </a:ext>
            </a:extLst>
          </xdr:cNvPr>
          <xdr:cNvSpPr/>
        </xdr:nvSpPr>
        <xdr:spPr>
          <a:xfrm>
            <a:off x="10525125" y="10507082"/>
            <a:ext cx="2038351" cy="993837"/>
          </a:xfrm>
          <a:prstGeom prst="wedgeRoundRectCallout">
            <a:avLst>
              <a:gd name="adj1" fmla="val -53082"/>
              <a:gd name="adj2" fmla="val -226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1000"/>
              <a:t>5. Please</a:t>
            </a:r>
            <a:r>
              <a:rPr lang="en-ZA" sz="1000" baseline="0"/>
              <a:t> select the payback period if applying for a loan. </a:t>
            </a:r>
            <a:r>
              <a:rPr lang="en-ZA" sz="1000" baseline="0">
                <a:solidFill>
                  <a:schemeClr val="lt1"/>
                </a:solidFill>
                <a:effectLst/>
                <a:latin typeface="+mn-lt"/>
                <a:ea typeface="+mn-ea"/>
                <a:cs typeface="+mn-cs"/>
              </a:rPr>
              <a:t>The payback period indicates how many years it will take to repay the loan.</a:t>
            </a:r>
            <a:endParaRPr lang="en-ZA" sz="1000" i="1"/>
          </a:p>
        </xdr:txBody>
      </xdr:sp>
      <xdr:sp macro="" textlink="">
        <xdr:nvSpPr>
          <xdr:cNvPr id="21" name="Speech Bubble: Rectangle with Corners Rounded 20">
            <a:extLst>
              <a:ext uri="{FF2B5EF4-FFF2-40B4-BE49-F238E27FC236}">
                <a16:creationId xmlns:a16="http://schemas.microsoft.com/office/drawing/2014/main" id="{8B33F303-0832-4732-9084-A0CD22D1652D}"/>
              </a:ext>
            </a:extLst>
          </xdr:cNvPr>
          <xdr:cNvSpPr/>
        </xdr:nvSpPr>
        <xdr:spPr>
          <a:xfrm>
            <a:off x="8134350" y="12420600"/>
            <a:ext cx="2286000" cy="571500"/>
          </a:xfrm>
          <a:prstGeom prst="wedgeRoundRectCallout">
            <a:avLst>
              <a:gd name="adj1" fmla="val -33057"/>
              <a:gd name="adj2" fmla="val -91256"/>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ZA" sz="1000"/>
              <a:t>9.</a:t>
            </a:r>
            <a:r>
              <a:rPr lang="en-ZA" sz="1000" baseline="0"/>
              <a:t> Estimated land size will be calculated based on tonnage &amp; production system. </a:t>
            </a:r>
            <a:endParaRPr lang="en-ZA" sz="1000" i="1"/>
          </a:p>
        </xdr:txBody>
      </xdr:sp>
      <xdr:sp macro="" textlink="">
        <xdr:nvSpPr>
          <xdr:cNvPr id="22" name="Speech Bubble: Rectangle with Corners Rounded 21">
            <a:extLst>
              <a:ext uri="{FF2B5EF4-FFF2-40B4-BE49-F238E27FC236}">
                <a16:creationId xmlns:a16="http://schemas.microsoft.com/office/drawing/2014/main" id="{F79CD1FD-6BA2-44A5-9AF0-8AFF154DA8C6}"/>
              </a:ext>
            </a:extLst>
          </xdr:cNvPr>
          <xdr:cNvSpPr/>
        </xdr:nvSpPr>
        <xdr:spPr>
          <a:xfrm>
            <a:off x="10525125" y="11915775"/>
            <a:ext cx="2038351" cy="734459"/>
          </a:xfrm>
          <a:prstGeom prst="wedgeRoundRectCallout">
            <a:avLst>
              <a:gd name="adj1" fmla="val -60092"/>
              <a:gd name="adj2" fmla="val -20828"/>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ZA" sz="1000" i="0"/>
              <a:t>10.</a:t>
            </a:r>
            <a:r>
              <a:rPr lang="en-ZA" sz="1000" i="0" baseline="0"/>
              <a:t> Employee numbers determined by model based on tonnage &amp; production system.</a:t>
            </a:r>
            <a:endParaRPr lang="en-ZA" sz="1000" i="1"/>
          </a:p>
        </xdr:txBody>
      </xdr:sp>
    </xdr:grpSp>
    <xdr:clientData/>
  </xdr:twoCellAnchor>
  <xdr:twoCellAnchor>
    <xdr:from>
      <xdr:col>5</xdr:col>
      <xdr:colOff>98387</xdr:colOff>
      <xdr:row>75</xdr:row>
      <xdr:rowOff>186470</xdr:rowOff>
    </xdr:from>
    <xdr:to>
      <xdr:col>20</xdr:col>
      <xdr:colOff>0</xdr:colOff>
      <xdr:row>88</xdr:row>
      <xdr:rowOff>171450</xdr:rowOff>
    </xdr:to>
    <xdr:grpSp>
      <xdr:nvGrpSpPr>
        <xdr:cNvPr id="31" name="Group 30">
          <a:extLst>
            <a:ext uri="{FF2B5EF4-FFF2-40B4-BE49-F238E27FC236}">
              <a16:creationId xmlns:a16="http://schemas.microsoft.com/office/drawing/2014/main" id="{D687CCCA-00B6-4517-BC86-D8F3D8D0FB3F}"/>
            </a:ext>
          </a:extLst>
        </xdr:cNvPr>
        <xdr:cNvGrpSpPr/>
      </xdr:nvGrpSpPr>
      <xdr:grpSpPr>
        <a:xfrm>
          <a:off x="2708237" y="14550170"/>
          <a:ext cx="9417088" cy="2461480"/>
          <a:chOff x="2755862" y="8371949"/>
          <a:chExt cx="9407563" cy="2361937"/>
        </a:xfrm>
      </xdr:grpSpPr>
      <xdr:pic>
        <xdr:nvPicPr>
          <xdr:cNvPr id="32" name="Picture 31">
            <a:extLst>
              <a:ext uri="{FF2B5EF4-FFF2-40B4-BE49-F238E27FC236}">
                <a16:creationId xmlns:a16="http://schemas.microsoft.com/office/drawing/2014/main" id="{29E06A4B-50E9-4510-AB01-914943F4B88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755862" y="8371949"/>
            <a:ext cx="6383218" cy="2361937"/>
          </a:xfrm>
          <a:prstGeom prst="rect">
            <a:avLst/>
          </a:prstGeom>
        </xdr:spPr>
      </xdr:pic>
      <xdr:sp macro="" textlink="">
        <xdr:nvSpPr>
          <xdr:cNvPr id="33" name="Speech Bubble: Rectangle with Corners Rounded 32">
            <a:extLst>
              <a:ext uri="{FF2B5EF4-FFF2-40B4-BE49-F238E27FC236}">
                <a16:creationId xmlns:a16="http://schemas.microsoft.com/office/drawing/2014/main" id="{D1A9DA8E-596E-4AA9-A4D4-0071BA54E016}"/>
              </a:ext>
            </a:extLst>
          </xdr:cNvPr>
          <xdr:cNvSpPr/>
        </xdr:nvSpPr>
        <xdr:spPr>
          <a:xfrm>
            <a:off x="8372473" y="9445172"/>
            <a:ext cx="3790952" cy="447847"/>
          </a:xfrm>
          <a:prstGeom prst="wedgeRoundRectCallout">
            <a:avLst>
              <a:gd name="adj1" fmla="val -80984"/>
              <a:gd name="adj2" fmla="val 159179"/>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ZA" sz="1000" i="1"/>
              <a:t>This block will provide potential fish species recommendations based on the fish</a:t>
            </a:r>
            <a:r>
              <a:rPr lang="en-ZA" sz="1000" i="1" baseline="0"/>
              <a:t> category selected</a:t>
            </a:r>
            <a:endParaRPr lang="en-ZA" sz="1000" i="1"/>
          </a:p>
        </xdr:txBody>
      </xdr:sp>
    </xdr:grpSp>
    <xdr:clientData/>
  </xdr:twoCellAnchor>
  <xdr:twoCellAnchor>
    <xdr:from>
      <xdr:col>1</xdr:col>
      <xdr:colOff>104774</xdr:colOff>
      <xdr:row>75</xdr:row>
      <xdr:rowOff>1</xdr:rowOff>
    </xdr:from>
    <xdr:to>
      <xdr:col>4</xdr:col>
      <xdr:colOff>600075</xdr:colOff>
      <xdr:row>82</xdr:row>
      <xdr:rowOff>9525</xdr:rowOff>
    </xdr:to>
    <xdr:sp macro="" textlink="">
      <xdr:nvSpPr>
        <xdr:cNvPr id="34" name="Rectangle: Rounded Corners 33">
          <a:extLst>
            <a:ext uri="{FF2B5EF4-FFF2-40B4-BE49-F238E27FC236}">
              <a16:creationId xmlns:a16="http://schemas.microsoft.com/office/drawing/2014/main" id="{579542D0-787F-4D9D-9C34-E0FD75D22FE0}"/>
            </a:ext>
          </a:extLst>
        </xdr:cNvPr>
        <xdr:cNvSpPr/>
      </xdr:nvSpPr>
      <xdr:spPr>
        <a:xfrm>
          <a:off x="276224" y="14363701"/>
          <a:ext cx="2324101" cy="1343024"/>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ZA" sz="1100"/>
            <a:t>This section provides species</a:t>
          </a:r>
          <a:r>
            <a:rPr lang="en-ZA" sz="1100" baseline="0"/>
            <a:t> specific information. This information is standard and does not require any changes/amendments by the model user.</a:t>
          </a:r>
          <a:endParaRPr lang="en-ZA" sz="1100"/>
        </a:p>
      </xdr:txBody>
    </xdr:sp>
    <xdr:clientData/>
  </xdr:twoCellAnchor>
  <xdr:twoCellAnchor>
    <xdr:from>
      <xdr:col>0</xdr:col>
      <xdr:colOff>590550</xdr:colOff>
      <xdr:row>1</xdr:row>
      <xdr:rowOff>28576</xdr:rowOff>
    </xdr:from>
    <xdr:to>
      <xdr:col>20</xdr:col>
      <xdr:colOff>0</xdr:colOff>
      <xdr:row>4</xdr:row>
      <xdr:rowOff>161925</xdr:rowOff>
    </xdr:to>
    <xdr:sp macro="" textlink="">
      <xdr:nvSpPr>
        <xdr:cNvPr id="35" name="TextBox 34">
          <a:extLst>
            <a:ext uri="{FF2B5EF4-FFF2-40B4-BE49-F238E27FC236}">
              <a16:creationId xmlns:a16="http://schemas.microsoft.com/office/drawing/2014/main" id="{C193E5A3-21A0-48EB-9976-0A6FC877200D}"/>
            </a:ext>
          </a:extLst>
        </xdr:cNvPr>
        <xdr:cNvSpPr txBox="1"/>
      </xdr:nvSpPr>
      <xdr:spPr>
        <a:xfrm>
          <a:off x="171450" y="219076"/>
          <a:ext cx="11953875" cy="704849"/>
        </a:xfrm>
        <a:prstGeom prst="rect">
          <a:avLst/>
        </a:prstGeom>
        <a:solidFill>
          <a:schemeClr val="accent1"/>
        </a:solidFill>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lgn="ctr"/>
          <a:r>
            <a:rPr lang="en-ZA" sz="1100" b="1">
              <a:solidFill>
                <a:schemeClr val="bg1"/>
              </a:solidFill>
            </a:rPr>
            <a:t>Welcome</a:t>
          </a:r>
          <a:r>
            <a:rPr lang="en-ZA" sz="1100" b="1" baseline="0">
              <a:solidFill>
                <a:schemeClr val="bg1"/>
              </a:solidFill>
            </a:rPr>
            <a:t> to the DAFF Generic Economic Model for Freshwater Ornamental Fish</a:t>
          </a:r>
        </a:p>
        <a:p>
          <a:pPr algn="l"/>
          <a:r>
            <a:rPr lang="en-ZA" sz="1100" baseline="0">
              <a:solidFill>
                <a:schemeClr val="bg1"/>
              </a:solidFill>
            </a:rPr>
            <a:t>This tab (</a:t>
          </a:r>
          <a:r>
            <a:rPr lang="en-ZA" sz="1100" b="1" baseline="0">
              <a:solidFill>
                <a:schemeClr val="bg1"/>
              </a:solidFill>
            </a:rPr>
            <a:t>"Using the model") </a:t>
          </a:r>
          <a:r>
            <a:rPr lang="en-ZA" sz="1100" b="0" baseline="0">
              <a:solidFill>
                <a:schemeClr val="bg1"/>
              </a:solidFill>
            </a:rPr>
            <a:t>provides a background to assist you with undertsanding the model and how it works.</a:t>
          </a:r>
        </a:p>
        <a:p>
          <a:pPr algn="l"/>
          <a:r>
            <a:rPr lang="en-ZA" sz="1100" b="0" baseline="0">
              <a:solidFill>
                <a:schemeClr val="bg1"/>
              </a:solidFill>
            </a:rPr>
            <a:t>Please take some time to review the instructions below and understand the model interface before navigating to the </a:t>
          </a:r>
          <a:r>
            <a:rPr lang="en-ZA" sz="1100" b="1" baseline="0">
              <a:solidFill>
                <a:schemeClr val="bg1"/>
              </a:solidFill>
            </a:rPr>
            <a:t>Interface</a:t>
          </a:r>
          <a:r>
            <a:rPr lang="en-ZA" sz="1100" b="0" baseline="0">
              <a:solidFill>
                <a:schemeClr val="bg1"/>
              </a:solidFill>
            </a:rPr>
            <a:t> tab to input your information.</a:t>
          </a:r>
          <a:endParaRPr lang="en-ZA" sz="1100">
            <a:solidFill>
              <a:schemeClr val="bg1"/>
            </a:solidFill>
          </a:endParaRPr>
        </a:p>
      </xdr:txBody>
    </xdr:sp>
    <xdr:clientData/>
  </xdr:twoCellAnchor>
  <xdr:twoCellAnchor editAs="oneCell">
    <xdr:from>
      <xdr:col>19</xdr:col>
      <xdr:colOff>457201</xdr:colOff>
      <xdr:row>1</xdr:row>
      <xdr:rowOff>28575</xdr:rowOff>
    </xdr:from>
    <xdr:to>
      <xdr:col>19</xdr:col>
      <xdr:colOff>937343</xdr:colOff>
      <xdr:row>3</xdr:row>
      <xdr:rowOff>147791</xdr:rowOff>
    </xdr:to>
    <xdr:pic>
      <xdr:nvPicPr>
        <xdr:cNvPr id="36" name="Picture 35" descr="Image result for Fish icon">
          <a:extLst>
            <a:ext uri="{FF2B5EF4-FFF2-40B4-BE49-F238E27FC236}">
              <a16:creationId xmlns:a16="http://schemas.microsoft.com/office/drawing/2014/main" id="{E803DC92-B1EE-4933-BFDC-6EB3FC5802B1}"/>
            </a:ext>
          </a:extLst>
        </xdr:cNvPr>
        <xdr:cNvPicPr>
          <a:picLocks noChangeAspect="1" noChangeArrowheads="1"/>
        </xdr:cNvPicPr>
      </xdr:nvPicPr>
      <xdr:blipFill>
        <a:blip xmlns:r="http://schemas.openxmlformats.org/officeDocument/2006/relationships" r:embed="rId5" cstate="print">
          <a:duotone>
            <a:prstClr val="black"/>
            <a:schemeClr val="accent2">
              <a:tint val="45000"/>
              <a:satMod val="400000"/>
            </a:schemeClr>
          </a:duotone>
          <a:extLst>
            <a:ext uri="{28A0092B-C50C-407E-A947-70E740481C1C}">
              <a14:useLocalDpi xmlns:a14="http://schemas.microsoft.com/office/drawing/2010/main" val="0"/>
            </a:ext>
          </a:extLst>
        </a:blip>
        <a:srcRect/>
        <a:stretch>
          <a:fillRect/>
        </a:stretch>
      </xdr:blipFill>
      <xdr:spPr bwMode="auto">
        <a:xfrm>
          <a:off x="11601451" y="219075"/>
          <a:ext cx="480142" cy="5002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95250</xdr:colOff>
      <xdr:row>2</xdr:row>
      <xdr:rowOff>104775</xdr:rowOff>
    </xdr:from>
    <xdr:to>
      <xdr:col>19</xdr:col>
      <xdr:colOff>557107</xdr:colOff>
      <xdr:row>5</xdr:row>
      <xdr:rowOff>14441</xdr:rowOff>
    </xdr:to>
    <xdr:pic>
      <xdr:nvPicPr>
        <xdr:cNvPr id="37" name="Picture 36" descr="Image result for Fish icon">
          <a:extLst>
            <a:ext uri="{FF2B5EF4-FFF2-40B4-BE49-F238E27FC236}">
              <a16:creationId xmlns:a16="http://schemas.microsoft.com/office/drawing/2014/main" id="{DD8A121A-083B-4851-A16D-601D823998BB}"/>
            </a:ext>
          </a:extLst>
        </xdr:cNvPr>
        <xdr:cNvPicPr>
          <a:picLocks noChangeAspect="1" noChangeArrowheads="1"/>
        </xdr:cNvPicPr>
      </xdr:nvPicPr>
      <xdr:blipFill>
        <a:blip xmlns:r="http://schemas.openxmlformats.org/officeDocument/2006/relationships" r:embed="rId5" cstate="print">
          <a:duotone>
            <a:prstClr val="black"/>
            <a:schemeClr val="accent2">
              <a:tint val="45000"/>
              <a:satMod val="400000"/>
            </a:schemeClr>
          </a:duotone>
          <a:extLst>
            <a:ext uri="{28A0092B-C50C-407E-A947-70E740481C1C}">
              <a14:useLocalDpi xmlns:a14="http://schemas.microsoft.com/office/drawing/2010/main" val="0"/>
            </a:ext>
          </a:extLst>
        </a:blip>
        <a:srcRect/>
        <a:stretch>
          <a:fillRect/>
        </a:stretch>
      </xdr:blipFill>
      <xdr:spPr bwMode="auto">
        <a:xfrm>
          <a:off x="11239500" y="485775"/>
          <a:ext cx="461857" cy="481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95250</xdr:colOff>
      <xdr:row>16</xdr:row>
      <xdr:rowOff>19051</xdr:rowOff>
    </xdr:from>
    <xdr:to>
      <xdr:col>20</xdr:col>
      <xdr:colOff>9526</xdr:colOff>
      <xdr:row>20</xdr:row>
      <xdr:rowOff>104775</xdr:rowOff>
    </xdr:to>
    <xdr:sp macro="" textlink="">
      <xdr:nvSpPr>
        <xdr:cNvPr id="38" name="Speech Bubble: Rectangle with Corners Rounded 37">
          <a:extLst>
            <a:ext uri="{FF2B5EF4-FFF2-40B4-BE49-F238E27FC236}">
              <a16:creationId xmlns:a16="http://schemas.microsoft.com/office/drawing/2014/main" id="{903DABA2-501F-4DA6-8DCD-798BBCE0EB5A}"/>
            </a:ext>
          </a:extLst>
        </xdr:cNvPr>
        <xdr:cNvSpPr/>
      </xdr:nvSpPr>
      <xdr:spPr>
        <a:xfrm>
          <a:off x="8801100" y="3076576"/>
          <a:ext cx="3333751" cy="857249"/>
        </a:xfrm>
        <a:prstGeom prst="wedgeRoundRectCallout">
          <a:avLst>
            <a:gd name="adj1" fmla="val 3322"/>
            <a:gd name="adj2" fmla="val 14039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1050" baseline="0"/>
            <a:t>6. Select proposed annual number of fish which calculates number of fish to be sold per month. </a:t>
          </a:r>
          <a:r>
            <a:rPr lang="en-ZA" sz="1050" i="0" baseline="0"/>
            <a:t>Impacts the following : </a:t>
          </a:r>
          <a:r>
            <a:rPr lang="en-ZA" sz="1050" i="1" baseline="0"/>
            <a:t>Production Assumptions, Financial Indicators &amp; permits required.</a:t>
          </a:r>
        </a:p>
      </xdr:txBody>
    </xdr:sp>
    <xdr:clientData/>
  </xdr:twoCellAnchor>
  <xdr:twoCellAnchor>
    <xdr:from>
      <xdr:col>11</xdr:col>
      <xdr:colOff>5155</xdr:colOff>
      <xdr:row>49</xdr:row>
      <xdr:rowOff>28575</xdr:rowOff>
    </xdr:from>
    <xdr:to>
      <xdr:col>14</xdr:col>
      <xdr:colOff>331711</xdr:colOff>
      <xdr:row>51</xdr:row>
      <xdr:rowOff>133350</xdr:rowOff>
    </xdr:to>
    <xdr:sp macro="" textlink="">
      <xdr:nvSpPr>
        <xdr:cNvPr id="39" name="Speech Bubble: Rectangle with Corners Rounded 38">
          <a:extLst>
            <a:ext uri="{FF2B5EF4-FFF2-40B4-BE49-F238E27FC236}">
              <a16:creationId xmlns:a16="http://schemas.microsoft.com/office/drawing/2014/main" id="{035D4523-D28F-4C5A-81D5-4626F071D1B4}"/>
            </a:ext>
          </a:extLst>
        </xdr:cNvPr>
        <xdr:cNvSpPr/>
      </xdr:nvSpPr>
      <xdr:spPr>
        <a:xfrm>
          <a:off x="6272605" y="9401175"/>
          <a:ext cx="2155356" cy="485775"/>
        </a:xfrm>
        <a:prstGeom prst="wedgeRoundRectCallout">
          <a:avLst>
            <a:gd name="adj1" fmla="val -61039"/>
            <a:gd name="adj2" fmla="val -8984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1000"/>
            <a:t>8. What is your highest</a:t>
          </a:r>
          <a:r>
            <a:rPr lang="en-ZA" sz="1000" baseline="0"/>
            <a:t> level of education?</a:t>
          </a:r>
          <a:endParaRPr lang="en-ZA" sz="1000" i="1"/>
        </a:p>
      </xdr:txBody>
    </xdr:sp>
    <xdr:clientData/>
  </xdr:twoCellAnchor>
  <xdr:twoCellAnchor>
    <xdr:from>
      <xdr:col>1</xdr:col>
      <xdr:colOff>84402</xdr:colOff>
      <xdr:row>18</xdr:row>
      <xdr:rowOff>19114</xdr:rowOff>
    </xdr:from>
    <xdr:to>
      <xdr:col>3</xdr:col>
      <xdr:colOff>533400</xdr:colOff>
      <xdr:row>24</xdr:row>
      <xdr:rowOff>0</xdr:rowOff>
    </xdr:to>
    <xdr:sp macro="" textlink="">
      <xdr:nvSpPr>
        <xdr:cNvPr id="40" name="Speech Bubble: Rectangle with Corners Rounded 39">
          <a:extLst>
            <a:ext uri="{FF2B5EF4-FFF2-40B4-BE49-F238E27FC236}">
              <a16:creationId xmlns:a16="http://schemas.microsoft.com/office/drawing/2014/main" id="{3FF0C78C-6AEF-446D-A297-55EFEAA495CC}"/>
            </a:ext>
          </a:extLst>
        </xdr:cNvPr>
        <xdr:cNvSpPr/>
      </xdr:nvSpPr>
      <xdr:spPr>
        <a:xfrm>
          <a:off x="255852" y="3467164"/>
          <a:ext cx="1668198" cy="1123886"/>
        </a:xfrm>
        <a:prstGeom prst="wedgeRoundRectCallout">
          <a:avLst>
            <a:gd name="adj1" fmla="val 63829"/>
            <a:gd name="adj2" fmla="val 1205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1050"/>
            <a:t>1. Select a 'species'</a:t>
          </a:r>
          <a:r>
            <a:rPr lang="en-ZA" sz="1050" baseline="0"/>
            <a:t> - Live bearers/egg broadcasters/mouth brooders/substrate spawners</a:t>
          </a:r>
          <a:endParaRPr lang="en-ZA" sz="1050" i="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86764</xdr:colOff>
      <xdr:row>50</xdr:row>
      <xdr:rowOff>81643</xdr:rowOff>
    </xdr:from>
    <xdr:to>
      <xdr:col>5</xdr:col>
      <xdr:colOff>462643</xdr:colOff>
      <xdr:row>57</xdr:row>
      <xdr:rowOff>12965</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693" y="15838714"/>
          <a:ext cx="3015664" cy="979072"/>
        </a:xfrm>
        <a:prstGeom prst="rect">
          <a:avLst/>
        </a:prstGeom>
      </xdr:spPr>
    </xdr:pic>
    <xdr:clientData/>
  </xdr:twoCellAnchor>
  <xdr:twoCellAnchor>
    <xdr:from>
      <xdr:col>3</xdr:col>
      <xdr:colOff>91215</xdr:colOff>
      <xdr:row>35</xdr:row>
      <xdr:rowOff>333224</xdr:rowOff>
    </xdr:from>
    <xdr:to>
      <xdr:col>4</xdr:col>
      <xdr:colOff>1197428</xdr:colOff>
      <xdr:row>43</xdr:row>
      <xdr:rowOff>123448</xdr:rowOff>
    </xdr:to>
    <xdr:pic>
      <xdr:nvPicPr>
        <xdr:cNvPr id="6" name="Picture 5" descr="Related image">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artisticPhotocopy/>
                  </a14:imgEffect>
                </a14:imgLayer>
              </a14:imgProps>
            </a:ext>
            <a:ext uri="{28A0092B-C50C-407E-A947-70E740481C1C}">
              <a14:useLocalDpi xmlns:a14="http://schemas.microsoft.com/office/drawing/2010/main" val="0"/>
            </a:ext>
          </a:extLst>
        </a:blip>
        <a:srcRect/>
        <a:stretch>
          <a:fillRect/>
        </a:stretch>
      </xdr:blipFill>
      <xdr:spPr bwMode="auto">
        <a:xfrm>
          <a:off x="839608" y="12824581"/>
          <a:ext cx="1541641" cy="1504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1442355</xdr:colOff>
      <xdr:row>1</xdr:row>
      <xdr:rowOff>40821</xdr:rowOff>
    </xdr:from>
    <xdr:to>
      <xdr:col>11</xdr:col>
      <xdr:colOff>81640</xdr:colOff>
      <xdr:row>4</xdr:row>
      <xdr:rowOff>435428</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2643755" y="688521"/>
          <a:ext cx="1496785" cy="1004207"/>
          <a:chOff x="647700" y="0"/>
          <a:chExt cx="1536695" cy="1040900"/>
        </a:xfrm>
      </xdr:grpSpPr>
      <xdr:sp macro="" textlink="">
        <xdr:nvSpPr>
          <xdr:cNvPr id="8" name="Oval 7">
            <a:extLst>
              <a:ext uri="{FF2B5EF4-FFF2-40B4-BE49-F238E27FC236}">
                <a16:creationId xmlns:a16="http://schemas.microsoft.com/office/drawing/2014/main" id="{00000000-0008-0000-0000-000008000000}"/>
              </a:ext>
            </a:extLst>
          </xdr:cNvPr>
          <xdr:cNvSpPr/>
        </xdr:nvSpPr>
        <xdr:spPr>
          <a:xfrm>
            <a:off x="1533525" y="542925"/>
            <a:ext cx="506836" cy="479230"/>
          </a:xfrm>
          <a:prstGeom prst="ellipse">
            <a:avLst/>
          </a:prstGeom>
          <a:solidFill>
            <a:srgbClr val="A5A5A5">
              <a:lumMod val="75000"/>
            </a:srgbClr>
          </a:solidFill>
          <a:ln w="12700" cap="flat" cmpd="sng" algn="ctr">
            <a:solidFill>
              <a:srgbClr val="FFC000">
                <a:lumMod val="60000"/>
                <a:lumOff val="40000"/>
              </a:srgbClr>
            </a:solidFill>
            <a:prstDash val="solid"/>
            <a:miter lim="800000"/>
          </a:ln>
          <a:effectLst/>
        </xdr:spPr>
        <xdr:txBody>
          <a:bodyPr wrap="square" rtlCol="0" anchor="ctr"/>
          <a:lstStyle>
            <a:defPPr>
              <a:defRPr lang="en-U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GB" sz="1800" b="0" i="0" u="none" strike="noStrike" kern="1200" cap="none" spc="0" normalizeH="0" baseline="0" noProof="0">
              <a:ln>
                <a:noFill/>
              </a:ln>
              <a:solidFill>
                <a:sysClr val="window" lastClr="FFFFFF"/>
              </a:solidFill>
              <a:effectLst/>
              <a:uLnTx/>
              <a:uFillTx/>
              <a:latin typeface="Calibri" panose="020F0502020204030204"/>
              <a:ea typeface="+mn-ea"/>
              <a:cs typeface="+mn-cs"/>
            </a:endParaRPr>
          </a:p>
        </xdr:txBody>
      </xdr:sp>
      <xdr:sp macro="" textlink="">
        <xdr:nvSpPr>
          <xdr:cNvPr id="9" name="Oval 8">
            <a:extLst>
              <a:ext uri="{FF2B5EF4-FFF2-40B4-BE49-F238E27FC236}">
                <a16:creationId xmlns:a16="http://schemas.microsoft.com/office/drawing/2014/main" id="{00000000-0008-0000-0000-000009000000}"/>
              </a:ext>
            </a:extLst>
          </xdr:cNvPr>
          <xdr:cNvSpPr/>
        </xdr:nvSpPr>
        <xdr:spPr>
          <a:xfrm>
            <a:off x="1533525" y="66675"/>
            <a:ext cx="650870" cy="638359"/>
          </a:xfrm>
          <a:prstGeom prst="ellipse">
            <a:avLst/>
          </a:prstGeom>
          <a:solidFill>
            <a:srgbClr val="00B050"/>
          </a:solidFill>
          <a:ln w="12700" cap="flat" cmpd="sng" algn="ctr">
            <a:solidFill>
              <a:srgbClr val="00B050"/>
            </a:solidFill>
            <a:prstDash val="solid"/>
            <a:miter lim="800000"/>
          </a:ln>
          <a:effectLst/>
        </xdr:spPr>
        <xdr:txBody>
          <a:bodyPr wrap="square" rtlCol="0" anchor="ctr"/>
          <a:lstStyle>
            <a:defPPr>
              <a:defRPr lang="en-U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GB" sz="1800" b="0" i="0" u="none" strike="noStrike" kern="1200" cap="none" spc="0" normalizeH="0" baseline="0" noProof="0">
              <a:ln>
                <a:noFill/>
              </a:ln>
              <a:solidFill>
                <a:sysClr val="window" lastClr="FFFFFF"/>
              </a:solidFill>
              <a:effectLst/>
              <a:uLnTx/>
              <a:uFillTx/>
              <a:latin typeface="Calibri" panose="020F0502020204030204"/>
              <a:ea typeface="+mn-ea"/>
              <a:cs typeface="+mn-cs"/>
            </a:endParaRPr>
          </a:p>
        </xdr:txBody>
      </xdr:sp>
      <xdr:pic>
        <xdr:nvPicPr>
          <xdr:cNvPr id="10" name="Picture 9" descr="Image result for Aquaculture icon">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4" cstate="print">
            <a:duotone>
              <a:srgbClr val="5B9BD5">
                <a:shade val="45000"/>
                <a:satMod val="135000"/>
              </a:srgbClr>
              <a:prstClr val="white"/>
            </a:duotone>
            <a:extLst>
              <a:ext uri="{28A0092B-C50C-407E-A947-70E740481C1C}">
                <a14:useLocalDpi xmlns:a14="http://schemas.microsoft.com/office/drawing/2010/main" val="0"/>
              </a:ext>
            </a:extLst>
          </a:blip>
          <a:srcRect/>
          <a:stretch>
            <a:fillRect/>
          </a:stretch>
        </xdr:blipFill>
        <xdr:spPr bwMode="auto">
          <a:xfrm>
            <a:off x="647700" y="0"/>
            <a:ext cx="1076248" cy="10409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Picture 10" descr="Image result for aquaculture icons">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19225" y="533400"/>
            <a:ext cx="458359" cy="44330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685143</xdr:colOff>
      <xdr:row>4</xdr:row>
      <xdr:rowOff>321573</xdr:rowOff>
    </xdr:from>
    <xdr:to>
      <xdr:col>4</xdr:col>
      <xdr:colOff>1293284</xdr:colOff>
      <xdr:row>6</xdr:row>
      <xdr:rowOff>59789</xdr:rowOff>
    </xdr:to>
    <xdr:pic>
      <xdr:nvPicPr>
        <xdr:cNvPr id="12" name="Picture 11" descr="Image result for Fish icon">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6" cstate="print">
          <a:lum bright="70000" contrast="-70000"/>
          <a:extLst>
            <a:ext uri="{28A0092B-C50C-407E-A947-70E740481C1C}">
              <a14:useLocalDpi xmlns:a14="http://schemas.microsoft.com/office/drawing/2010/main" val="0"/>
            </a:ext>
          </a:extLst>
        </a:blip>
        <a:srcRect/>
        <a:stretch>
          <a:fillRect/>
        </a:stretch>
      </xdr:blipFill>
      <xdr:spPr bwMode="auto">
        <a:xfrm>
          <a:off x="1868964" y="1587037"/>
          <a:ext cx="608141" cy="6226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884398</xdr:colOff>
      <xdr:row>4</xdr:row>
      <xdr:rowOff>317486</xdr:rowOff>
    </xdr:from>
    <xdr:to>
      <xdr:col>6</xdr:col>
      <xdr:colOff>1469543</xdr:colOff>
      <xdr:row>5</xdr:row>
      <xdr:rowOff>425757</xdr:rowOff>
    </xdr:to>
    <xdr:pic>
      <xdr:nvPicPr>
        <xdr:cNvPr id="13" name="Picture 12" descr="Image result for system icon">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7"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1890354">
          <a:off x="5578862" y="1582950"/>
          <a:ext cx="585145" cy="5668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692729</xdr:colOff>
      <xdr:row>4</xdr:row>
      <xdr:rowOff>386306</xdr:rowOff>
    </xdr:from>
    <xdr:to>
      <xdr:col>5</xdr:col>
      <xdr:colOff>952501</xdr:colOff>
      <xdr:row>5</xdr:row>
      <xdr:rowOff>338322</xdr:rowOff>
    </xdr:to>
    <xdr:pic>
      <xdr:nvPicPr>
        <xdr:cNvPr id="14" name="Picture 13" descr="Image result for location icon">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577443" y="2032770"/>
          <a:ext cx="259772" cy="4010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606508</xdr:colOff>
      <xdr:row>4</xdr:row>
      <xdr:rowOff>328677</xdr:rowOff>
    </xdr:from>
    <xdr:to>
      <xdr:col>7</xdr:col>
      <xdr:colOff>1094015</xdr:colOff>
      <xdr:row>5</xdr:row>
      <xdr:rowOff>370612</xdr:rowOff>
    </xdr:to>
    <xdr:pic>
      <xdr:nvPicPr>
        <xdr:cNvPr id="15" name="Picture 14" descr="Image result for market icon">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9" cstate="print">
          <a:duotone>
            <a:schemeClr val="accent6">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7437294" y="1594141"/>
          <a:ext cx="487507" cy="490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610094</xdr:colOff>
      <xdr:row>4</xdr:row>
      <xdr:rowOff>324222</xdr:rowOff>
    </xdr:from>
    <xdr:to>
      <xdr:col>9</xdr:col>
      <xdr:colOff>1082838</xdr:colOff>
      <xdr:row>5</xdr:row>
      <xdr:rowOff>351435</xdr:rowOff>
    </xdr:to>
    <xdr:pic>
      <xdr:nvPicPr>
        <xdr:cNvPr id="16" name="Picture 15" descr="Image result for tonnage icon">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0"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0298380" y="1589686"/>
          <a:ext cx="472744" cy="476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618562</xdr:colOff>
      <xdr:row>4</xdr:row>
      <xdr:rowOff>306010</xdr:rowOff>
    </xdr:from>
    <xdr:to>
      <xdr:col>8</xdr:col>
      <xdr:colOff>1276651</xdr:colOff>
      <xdr:row>6</xdr:row>
      <xdr:rowOff>8164</xdr:rowOff>
    </xdr:to>
    <xdr:pic>
      <xdr:nvPicPr>
        <xdr:cNvPr id="18" name="Picture 17" descr="Image result for dollar icon">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1" cstate="print">
          <a:extLst>
            <a:ext uri="{BEBA8EAE-BF5A-486C-A8C5-ECC9F3942E4B}">
              <a14:imgProps xmlns:a14="http://schemas.microsoft.com/office/drawing/2010/main">
                <a14:imgLayer r:embed="rId12">
                  <a14:imgEffect>
                    <a14:colorTemperature colorTemp="6870"/>
                  </a14:imgEffect>
                  <a14:imgEffect>
                    <a14:saturation sat="48000"/>
                  </a14:imgEffect>
                </a14:imgLayer>
              </a14:imgProps>
            </a:ext>
            <a:ext uri="{28A0092B-C50C-407E-A947-70E740481C1C}">
              <a14:useLocalDpi xmlns:a14="http://schemas.microsoft.com/office/drawing/2010/main" val="0"/>
            </a:ext>
          </a:extLst>
        </a:blip>
        <a:srcRect/>
        <a:stretch>
          <a:fillRect/>
        </a:stretch>
      </xdr:blipFill>
      <xdr:spPr bwMode="auto">
        <a:xfrm>
          <a:off x="8793733" y="1568753"/>
          <a:ext cx="658089" cy="573011"/>
        </a:xfrm>
        <a:prstGeom prst="rect">
          <a:avLst/>
        </a:prstGeom>
        <a:noFill/>
      </xdr:spPr>
    </xdr:pic>
    <xdr:clientData/>
  </xdr:twoCellAnchor>
  <xdr:twoCellAnchor editAs="oneCell">
    <xdr:from>
      <xdr:col>9</xdr:col>
      <xdr:colOff>185275</xdr:colOff>
      <xdr:row>14</xdr:row>
      <xdr:rowOff>571501</xdr:rowOff>
    </xdr:from>
    <xdr:to>
      <xdr:col>9</xdr:col>
      <xdr:colOff>1963689</xdr:colOff>
      <xdr:row>19</xdr:row>
      <xdr:rowOff>353233</xdr:rowOff>
    </xdr:to>
    <xdr:pic>
      <xdr:nvPicPr>
        <xdr:cNvPr id="17" name="Picture 16" descr="Related image">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3">
          <a:extLst>
            <a:ext uri="{BEBA8EAE-BF5A-486C-A8C5-ECC9F3942E4B}">
              <a14:imgProps xmlns:a14="http://schemas.microsoft.com/office/drawing/2010/main">
                <a14:imgLayer r:embed="rId14">
                  <a14:imgEffect>
                    <a14:backgroundRemoval t="0" b="99512" l="2000" r="92000">
                      <a14:foregroundMark x1="4667" y1="1220" x2="5031" y2="1302"/>
                      <a14:foregroundMark x1="25216" y1="3722" x2="25535" y2="3689"/>
                      <a14:foregroundMark x1="32195" y1="4347" x2="27333" y2="12927"/>
                      <a14:foregroundMark x1="27333" y1="12927" x2="16333" y2="21220"/>
                      <a14:foregroundMark x1="16333" y1="21220" x2="16000" y2="31951"/>
                      <a14:foregroundMark x1="16000" y1="31951" x2="21667" y2="36585"/>
                      <a14:foregroundMark x1="2418" y1="35166" x2="2333" y2="35366"/>
                      <a14:foregroundMark x1="2333" y1="35366" x2="8312" y2="42015"/>
                      <a14:foregroundMark x1="10667" y1="47563" x2="10667" y2="52307"/>
                      <a14:foregroundMark x1="18544" y1="53154" x2="24333" y2="51707"/>
                      <a14:foregroundMark x1="24333" y1="51707" x2="33667" y2="61220"/>
                      <a14:foregroundMark x1="33667" y1="61220" x2="23000" y2="69268"/>
                      <a14:foregroundMark x1="23000" y1="69268" x2="28333" y2="68780"/>
                      <a14:foregroundMark x1="67633" y1="25419" x2="67296" y2="25404"/>
                      <a14:foregroundMark x1="61801" y1="27331" x2="65333" y2="37073"/>
                      <a14:foregroundMark x1="65333" y1="37073" x2="79000" y2="43171"/>
                      <a14:foregroundMark x1="79000" y1="43171" x2="80143" y2="46821"/>
                      <a14:foregroundMark x1="78573" y1="63116" x2="77333" y2="65610"/>
                      <a14:foregroundMark x1="78850" y1="62558" x2="78697" y2="62865"/>
                      <a14:foregroundMark x1="79915" y1="60415" x2="79516" y2="61217"/>
                      <a14:foregroundMark x1="77333" y1="65610" x2="63000" y2="70732"/>
                      <a14:foregroundMark x1="54999" y1="77531" x2="52667" y2="79512"/>
                      <a14:foregroundMark x1="58365" y1="74670" x2="55126" y2="77422"/>
                      <a14:foregroundMark x1="63000" y1="70732" x2="58712" y2="74375"/>
                      <a14:foregroundMark x1="52667" y1="79512" x2="48667" y2="91463"/>
                      <a14:foregroundMark x1="48667" y1="91463" x2="53303" y2="93329"/>
                      <a14:foregroundMark x1="91025" y1="84920" x2="93463" y2="73023"/>
                      <a14:foregroundMark x1="91432" y1="58167" x2="91333" y2="57805"/>
                      <a14:foregroundMark x1="93538" y1="65873" x2="93473" y2="65635"/>
                      <a14:foregroundMark x1="91333" y1="57805" x2="97333" y2="33415"/>
                      <a14:foregroundMark x1="97333" y1="33415" x2="92000" y2="23415"/>
                      <a14:foregroundMark x1="92000" y1="23415" x2="82010" y2="24245"/>
                      <a14:foregroundMark x1="69070" y1="61887" x2="65333" y2="61951"/>
                      <a14:foregroundMark x1="74286" y1="61799" x2="70409" y2="61865"/>
                      <a14:foregroundMark x1="77510" y1="61744" x2="76181" y2="61766"/>
                      <a14:foregroundMark x1="79667" y1="61707" x2="78109" y2="61733"/>
                      <a14:foregroundMark x1="65333" y1="61951" x2="65000" y2="72439"/>
                      <a14:foregroundMark x1="65000" y1="72439" x2="49333" y2="91707"/>
                      <a14:foregroundMark x1="49333" y1="91707" x2="55005" y2="92977"/>
                      <a14:foregroundMark x1="13000" y1="3902" x2="10333" y2="15122"/>
                      <a14:foregroundMark x1="10333" y1="15122" x2="13667" y2="19268"/>
                      <a14:foregroundMark x1="9333" y1="2927" x2="6000" y2="1220"/>
                      <a14:foregroundMark x1="8667" y1="2927" x2="15667" y2="8780"/>
                      <a14:foregroundMark x1="6667" y1="3902" x2="6333" y2="14390"/>
                      <a14:foregroundMark x1="6333" y1="14390" x2="11000" y2="18049"/>
                      <a14:foregroundMark x1="26333" y1="2927" x2="34667" y2="0"/>
                      <a14:foregroundMark x1="49333" y1="58049" x2="44667" y2="63171"/>
                      <a14:foregroundMark x1="47000" y1="64146" x2="55000" y2="54634"/>
                      <a14:foregroundMark x1="55000" y1="54634" x2="39333" y2="56585"/>
                      <a14:foregroundMark x1="74667" y1="87805" x2="63333" y2="87317"/>
                      <a14:foregroundMark x1="63000" y1="88293" x2="72000" y2="97073"/>
                      <a14:foregroundMark x1="72000" y1="97073" x2="85333" y2="92195"/>
                      <a14:foregroundMark x1="85333" y1="92195" x2="86000" y2="89024"/>
                      <a14:foregroundMark x1="59333" y1="91463" x2="71333" y2="97317"/>
                      <a14:foregroundMark x1="71333" y1="97317" x2="80667" y2="92927"/>
                      <a14:foregroundMark x1="58715" y1="94620" x2="59333" y2="94634"/>
                      <a14:foregroundMark x1="52410" y1="94475" x2="56073" y2="94559"/>
                      <a14:foregroundMark x1="48667" y1="94390" x2="51120" y2="94446"/>
                      <a14:foregroundMark x1="52246" y1="93787" x2="58333" y2="91463"/>
                      <a14:foregroundMark x1="50667" y1="94390" x2="51686" y2="94001"/>
                      <a14:foregroundMark x1="49667" y1="94146" x2="48543" y2="95955"/>
                      <a14:backgroundMark x1="12667" y1="244" x2="27333" y2="1463"/>
                      <a14:backgroundMark x1="34081" y1="865" x2="38333" y2="488"/>
                      <a14:backgroundMark x1="10333" y1="20488" x2="4333" y2="30244"/>
                      <a14:backgroundMark x1="4333" y1="30244" x2="0" y2="33902"/>
                      <a14:backgroundMark x1="2000" y1="44390" x2="5667" y2="47073"/>
                      <a14:backgroundMark x1="6667" y1="44146" x2="5000" y2="46585"/>
                      <a14:backgroundMark x1="7000" y1="42439" x2="10000" y2="47073"/>
                      <a14:backgroundMark x1="8667" y1="53902" x2="16333" y2="56829"/>
                      <a14:backgroundMark x1="57667" y1="73171" x2="56333" y2="68537"/>
                      <a14:backgroundMark x1="56667" y1="74146" x2="58667" y2="68049"/>
                      <a14:backgroundMark x1="70667" y1="59268" x2="82000" y2="52683"/>
                      <a14:backgroundMark x1="82000" y1="52683" x2="74333" y2="48780"/>
                      <a14:backgroundMark x1="78667" y1="49024" x2="74000" y2="60000"/>
                      <a14:backgroundMark x1="74000" y1="60000" x2="72667" y2="60488"/>
                      <a14:backgroundMark x1="78667" y1="49512" x2="77333" y2="60244"/>
                      <a14:backgroundMark x1="77333" y1="60244" x2="71667" y2="52927"/>
                      <a14:backgroundMark x1="78000" y1="48780" x2="86000" y2="50732"/>
                      <a14:backgroundMark x1="81000" y1="23171" x2="66667" y2="24390"/>
                      <a14:backgroundMark x1="66667" y1="24390" x2="63000" y2="22439"/>
                      <a14:backgroundMark x1="66667" y1="24878" x2="59667" y2="24878"/>
                      <a14:backgroundMark x1="96667" y1="69512" x2="90333" y2="60000"/>
                      <a14:backgroundMark x1="90333" y1="60000" x2="95000" y2="57073"/>
                      <a14:backgroundMark x1="91667" y1="61220" x2="95333" y2="62439"/>
                      <a14:backgroundMark x1="92000" y1="85122" x2="98333" y2="88780"/>
                      <a14:backgroundMark x1="93000" y1="87561" x2="91667" y2="91951"/>
                      <a14:backgroundMark x1="87427" y1="85903" x2="82667" y2="83415"/>
                      <a14:backgroundMark x1="92000" y1="88293" x2="87608" y2="85998"/>
                      <a14:backgroundMark x1="90000" y1="86098" x2="93333" y2="86098"/>
                      <a14:backgroundMark x1="93667" y1="65854" x2="95667" y2="72683"/>
                      <a14:backgroundMark x1="83690" y1="95391" x2="83157" y2="95434"/>
                      <a14:backgroundMark x1="87000" y1="95122" x2="83880" y2="95375"/>
                      <a14:backgroundMark x1="78412" y1="97535" x2="90333" y2="99756"/>
                      <a14:backgroundMark x1="88333" y1="89024" x2="87667" y2="96585"/>
                      <a14:backgroundMark x1="74478" y1="98974" x2="76333" y2="99756"/>
                      <a14:backgroundMark x1="71039" y1="97526" x2="71166" y2="97579"/>
                      <a14:backgroundMark x1="61667" y1="95854" x2="58667" y2="99268"/>
                      <a14:backgroundMark x1="56000" y1="96829" x2="51000" y2="99756"/>
                      <a14:backgroundMark x1="46000" y1="98049" x2="49333" y2="99756"/>
                    </a14:backgroundRemoval>
                  </a14:imgEffect>
                </a14:imgLayer>
              </a14:imgProps>
            </a:ext>
            <a:ext uri="{28A0092B-C50C-407E-A947-70E740481C1C}">
              <a14:useLocalDpi xmlns:a14="http://schemas.microsoft.com/office/drawing/2010/main" val="0"/>
            </a:ext>
          </a:extLst>
        </a:blip>
        <a:srcRect/>
        <a:stretch>
          <a:fillRect/>
        </a:stretch>
      </xdr:blipFill>
      <xdr:spPr bwMode="auto">
        <a:xfrm>
          <a:off x="10526704" y="5565322"/>
          <a:ext cx="1778414" cy="243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1156608</xdr:colOff>
      <xdr:row>50</xdr:row>
      <xdr:rowOff>40820</xdr:rowOff>
    </xdr:from>
    <xdr:to>
      <xdr:col>10</xdr:col>
      <xdr:colOff>546736</xdr:colOff>
      <xdr:row>57</xdr:row>
      <xdr:rowOff>122461</xdr:rowOff>
    </xdr:to>
    <xdr:pic>
      <xdr:nvPicPr>
        <xdr:cNvPr id="21" name="Picture 20" descr="C:\Users\urbanruan\Dropbox\Urban-Econ\Company Document\UE_RGB logo transaprent.png">
          <a:extLst>
            <a:ext uri="{FF2B5EF4-FFF2-40B4-BE49-F238E27FC236}">
              <a16:creationId xmlns:a16="http://schemas.microsoft.com/office/drawing/2014/main" id="{00000000-0008-0000-0000-000015000000}"/>
            </a:ext>
          </a:extLst>
        </xdr:cNvPr>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0844894" y="15797891"/>
          <a:ext cx="1431200" cy="1129391"/>
        </a:xfrm>
        <a:prstGeom prst="rect">
          <a:avLst/>
        </a:prstGeom>
        <a:noFill/>
        <a:ln>
          <a:noFill/>
        </a:ln>
      </xdr:spPr>
    </xdr:pic>
    <xdr:clientData/>
  </xdr:twoCellAnchor>
  <xdr:twoCellAnchor>
    <xdr:from>
      <xdr:col>9</xdr:col>
      <xdr:colOff>489858</xdr:colOff>
      <xdr:row>35</xdr:row>
      <xdr:rowOff>312965</xdr:rowOff>
    </xdr:from>
    <xdr:to>
      <xdr:col>10</xdr:col>
      <xdr:colOff>653143</xdr:colOff>
      <xdr:row>43</xdr:row>
      <xdr:rowOff>108858</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1691258" y="13286015"/>
          <a:ext cx="2201635" cy="1529443"/>
          <a:chOff x="9715479" y="14436695"/>
          <a:chExt cx="2874132" cy="1554909"/>
        </a:xfrm>
      </xdr:grpSpPr>
      <xdr:pic>
        <xdr:nvPicPr>
          <xdr:cNvPr id="19" name="Picture 18" descr="Image result for fish background">
            <a:extLst>
              <a:ext uri="{FF2B5EF4-FFF2-40B4-BE49-F238E27FC236}">
                <a16:creationId xmlns:a16="http://schemas.microsoft.com/office/drawing/2014/main" id="{00000000-0008-0000-0000-000013000000}"/>
              </a:ext>
            </a:extLst>
          </xdr:cNvPr>
          <xdr:cNvPicPr>
            <a:picLocks noChangeAspect="1" noChangeArrowheads="1"/>
          </xdr:cNvPicPr>
        </xdr:nvPicPr>
        <xdr:blipFill rotWithShape="1">
          <a:blip xmlns:r="http://schemas.openxmlformats.org/officeDocument/2006/relationships" r:embed="rId16" cstate="print">
            <a:duotone>
              <a:schemeClr val="accent1">
                <a:shade val="45000"/>
                <a:satMod val="135000"/>
              </a:schemeClr>
              <a:prstClr val="white"/>
            </a:duotone>
            <a:extLst>
              <a:ext uri="{BEBA8EAE-BF5A-486C-A8C5-ECC9F3942E4B}">
                <a14:imgProps xmlns:a14="http://schemas.microsoft.com/office/drawing/2010/main">
                  <a14:imgLayer r:embed="rId17">
                    <a14:imgEffect>
                      <a14:backgroundRemoval t="26561" b="66006" l="6846" r="93154">
                        <a14:foregroundMark x1="42769" y1="25669" x2="13231" y2="30723"/>
                        <a14:foregroundMark x1="13231" y1="30723" x2="14692" y2="49851"/>
                        <a14:foregroundMark x1="10615" y1="32408" x2="19000" y2="50446"/>
                        <a14:foregroundMark x1="19000" y1="50446" x2="36154" y2="51041"/>
                        <a14:foregroundMark x1="36154" y1="51041" x2="48000" y2="50446"/>
                        <a14:foregroundMark x1="6923" y1="40833" x2="15923" y2="48167"/>
                        <a14:foregroundMark x1="81000" y1="42022" x2="83385" y2="48167"/>
                        <a14:foregroundMark x1="84231" y1="42517" x2="73231" y2="51536"/>
                        <a14:foregroundMark x1="85077" y1="47671" x2="82231" y2="38652"/>
                        <a14:foregroundMark x1="84231" y1="39742" x2="83385" y2="47076"/>
                        <a14:foregroundMark x1="87077" y1="40337" x2="88920" y2="45986"/>
                        <a14:foregroundMark x1="88918" y1="61134" x2="79385" y2="66006"/>
                        <a14:foregroundMark x1="79385" y1="66006" x2="81385" y2="47671"/>
                        <a14:backgroundMark x1="82615" y1="53221" x2="91154" y2="46482"/>
                        <a14:backgroundMark x1="86308" y1="53221" x2="94385" y2="58870"/>
                        <a14:backgroundMark x1="88308" y1="59465" x2="92769" y2="52725"/>
                        <a14:backgroundMark x1="87462" y1="48761" x2="88692" y2="61744"/>
                        <a14:backgroundMark x1="89154" y1="58870" x2="93154" y2="49356"/>
                        <a14:backgroundMark x1="89923" y1="61150" x2="94385" y2="61744"/>
                        <a14:backgroundMark x1="88692" y1="59465" x2="93615" y2="59465"/>
                        <a14:backgroundMark x1="88308" y1="58870" x2="90769" y2="60555"/>
                        <a14:backgroundMark x1="89154" y1="45887" x2="92000" y2="56591"/>
                      </a14:backgroundRemoval>
                    </a14:imgEffect>
                  </a14:imgLayer>
                </a14:imgProps>
              </a:ext>
              <a:ext uri="{28A0092B-C50C-407E-A947-70E740481C1C}">
                <a14:useLocalDpi xmlns:a14="http://schemas.microsoft.com/office/drawing/2010/main" val="0"/>
              </a:ext>
            </a:extLst>
          </a:blip>
          <a:srcRect l="4827" t="21731" r="4258" b="28881"/>
          <a:stretch/>
        </xdr:blipFill>
        <xdr:spPr bwMode="auto">
          <a:xfrm rot="239842">
            <a:off x="9767186" y="14436695"/>
            <a:ext cx="2327125" cy="96708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 name="Picture 19" descr="Image result for fish background">
            <a:extLst>
              <a:ext uri="{FF2B5EF4-FFF2-40B4-BE49-F238E27FC236}">
                <a16:creationId xmlns:a16="http://schemas.microsoft.com/office/drawing/2014/main" id="{00000000-0008-0000-0000-000014000000}"/>
              </a:ext>
            </a:extLst>
          </xdr:cNvPr>
          <xdr:cNvPicPr>
            <a:picLocks noChangeAspect="1" noChangeArrowheads="1"/>
          </xdr:cNvPicPr>
        </xdr:nvPicPr>
        <xdr:blipFill rotWithShape="1">
          <a:blip xmlns:r="http://schemas.openxmlformats.org/officeDocument/2006/relationships" r:embed="rId16" cstate="print">
            <a:duotone>
              <a:schemeClr val="accent1">
                <a:shade val="45000"/>
                <a:satMod val="135000"/>
              </a:schemeClr>
              <a:prstClr val="white"/>
            </a:duotone>
            <a:extLst>
              <a:ext uri="{BEBA8EAE-BF5A-486C-A8C5-ECC9F3942E4B}">
                <a14:imgProps xmlns:a14="http://schemas.microsoft.com/office/drawing/2010/main">
                  <a14:imgLayer r:embed="rId17">
                    <a14:imgEffect>
                      <a14:backgroundRemoval t="26561" b="66006" l="6846" r="93154">
                        <a14:foregroundMark x1="42769" y1="25669" x2="13231" y2="30723"/>
                        <a14:foregroundMark x1="13231" y1="30723" x2="14692" y2="49851"/>
                        <a14:foregroundMark x1="10615" y1="32408" x2="19000" y2="50446"/>
                        <a14:foregroundMark x1="19000" y1="50446" x2="36154" y2="51041"/>
                        <a14:foregroundMark x1="36154" y1="51041" x2="48000" y2="50446"/>
                        <a14:foregroundMark x1="6923" y1="40833" x2="15923" y2="48167"/>
                        <a14:foregroundMark x1="81000" y1="42022" x2="83385" y2="48167"/>
                        <a14:foregroundMark x1="84231" y1="42517" x2="73231" y2="51536"/>
                        <a14:foregroundMark x1="85077" y1="47671" x2="82231" y2="38652"/>
                        <a14:foregroundMark x1="84231" y1="39742" x2="83385" y2="47076"/>
                        <a14:foregroundMark x1="87077" y1="40337" x2="88920" y2="45986"/>
                        <a14:foregroundMark x1="88918" y1="61134" x2="79385" y2="66006"/>
                        <a14:foregroundMark x1="79385" y1="66006" x2="81385" y2="47671"/>
                        <a14:backgroundMark x1="82615" y1="53221" x2="91154" y2="46482"/>
                        <a14:backgroundMark x1="86308" y1="53221" x2="94385" y2="58870"/>
                        <a14:backgroundMark x1="88308" y1="59465" x2="92769" y2="52725"/>
                        <a14:backgroundMark x1="87462" y1="48761" x2="88692" y2="61744"/>
                        <a14:backgroundMark x1="89154" y1="58870" x2="93154" y2="49356"/>
                        <a14:backgroundMark x1="89923" y1="61150" x2="94385" y2="61744"/>
                        <a14:backgroundMark x1="88692" y1="59465" x2="93615" y2="59465"/>
                        <a14:backgroundMark x1="88308" y1="58870" x2="90769" y2="60555"/>
                        <a14:backgroundMark x1="89154" y1="45887" x2="92000" y2="56591"/>
                      </a14:backgroundRemoval>
                    </a14:imgEffect>
                  </a14:imgLayer>
                </a14:imgProps>
              </a:ext>
              <a:ext uri="{28A0092B-C50C-407E-A947-70E740481C1C}">
                <a14:useLocalDpi xmlns:a14="http://schemas.microsoft.com/office/drawing/2010/main" val="0"/>
              </a:ext>
            </a:extLst>
          </a:blip>
          <a:srcRect l="4827" t="21731" r="4258" b="28881"/>
          <a:stretch/>
        </xdr:blipFill>
        <xdr:spPr bwMode="auto">
          <a:xfrm rot="239842">
            <a:off x="9715479" y="15024524"/>
            <a:ext cx="2327125" cy="96708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2" name="Picture 21" descr="Image result for fish background">
            <a:extLst>
              <a:ext uri="{FF2B5EF4-FFF2-40B4-BE49-F238E27FC236}">
                <a16:creationId xmlns:a16="http://schemas.microsoft.com/office/drawing/2014/main" id="{00000000-0008-0000-0000-000016000000}"/>
              </a:ext>
            </a:extLst>
          </xdr:cNvPr>
          <xdr:cNvPicPr>
            <a:picLocks noChangeAspect="1" noChangeArrowheads="1"/>
          </xdr:cNvPicPr>
        </xdr:nvPicPr>
        <xdr:blipFill rotWithShape="1">
          <a:blip xmlns:r="http://schemas.openxmlformats.org/officeDocument/2006/relationships" r:embed="rId16" cstate="print">
            <a:duotone>
              <a:schemeClr val="accent1">
                <a:shade val="45000"/>
                <a:satMod val="135000"/>
              </a:schemeClr>
              <a:prstClr val="white"/>
            </a:duotone>
            <a:extLst>
              <a:ext uri="{BEBA8EAE-BF5A-486C-A8C5-ECC9F3942E4B}">
                <a14:imgProps xmlns:a14="http://schemas.microsoft.com/office/drawing/2010/main">
                  <a14:imgLayer r:embed="rId17">
                    <a14:imgEffect>
                      <a14:backgroundRemoval t="26561" b="66006" l="6846" r="93154">
                        <a14:foregroundMark x1="42769" y1="25669" x2="13231" y2="30723"/>
                        <a14:foregroundMark x1="13231" y1="30723" x2="14692" y2="49851"/>
                        <a14:foregroundMark x1="10615" y1="32408" x2="19000" y2="50446"/>
                        <a14:foregroundMark x1="19000" y1="50446" x2="36154" y2="51041"/>
                        <a14:foregroundMark x1="36154" y1="51041" x2="48000" y2="50446"/>
                        <a14:foregroundMark x1="6923" y1="40833" x2="15923" y2="48167"/>
                        <a14:foregroundMark x1="81000" y1="42022" x2="83385" y2="48167"/>
                        <a14:foregroundMark x1="84231" y1="42517" x2="73231" y2="51536"/>
                        <a14:foregroundMark x1="85077" y1="47671" x2="82231" y2="38652"/>
                        <a14:foregroundMark x1="84231" y1="39742" x2="83385" y2="47076"/>
                        <a14:foregroundMark x1="87077" y1="40337" x2="88920" y2="45986"/>
                        <a14:foregroundMark x1="88918" y1="61134" x2="79385" y2="66006"/>
                        <a14:foregroundMark x1="79385" y1="66006" x2="81385" y2="47671"/>
                        <a14:backgroundMark x1="82615" y1="53221" x2="91154" y2="46482"/>
                        <a14:backgroundMark x1="86308" y1="53221" x2="94385" y2="58870"/>
                        <a14:backgroundMark x1="88308" y1="59465" x2="92769" y2="52725"/>
                        <a14:backgroundMark x1="87462" y1="48761" x2="88692" y2="61744"/>
                        <a14:backgroundMark x1="89154" y1="58870" x2="93154" y2="49356"/>
                        <a14:backgroundMark x1="89923" y1="61150" x2="94385" y2="61744"/>
                        <a14:backgroundMark x1="88692" y1="59465" x2="93615" y2="59465"/>
                        <a14:backgroundMark x1="88308" y1="58870" x2="90769" y2="60555"/>
                        <a14:backgroundMark x1="89154" y1="45887" x2="92000" y2="56591"/>
                      </a14:backgroundRemoval>
                    </a14:imgEffect>
                  </a14:imgLayer>
                </a14:imgProps>
              </a:ext>
              <a:ext uri="{28A0092B-C50C-407E-A947-70E740481C1C}">
                <a14:useLocalDpi xmlns:a14="http://schemas.microsoft.com/office/drawing/2010/main" val="0"/>
              </a:ext>
            </a:extLst>
          </a:blip>
          <a:srcRect l="4827" t="21731" r="4258" b="28881"/>
          <a:stretch/>
        </xdr:blipFill>
        <xdr:spPr bwMode="auto">
          <a:xfrm rot="239842">
            <a:off x="10262486" y="14550995"/>
            <a:ext cx="2327125" cy="96708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1495425</xdr:colOff>
          <xdr:row>1</xdr:row>
          <xdr:rowOff>1066800</xdr:rowOff>
        </xdr:from>
        <xdr:to>
          <xdr:col>3</xdr:col>
          <xdr:colOff>2114550</xdr:colOff>
          <xdr:row>1</xdr:row>
          <xdr:rowOff>1266825</xdr:rowOff>
        </xdr:to>
        <xdr:sp macro="" textlink="">
          <xdr:nvSpPr>
            <xdr:cNvPr id="3079" name="Button 7" hidden="1">
              <a:extLst>
                <a:ext uri="{63B3BB69-23CF-44E3-9099-C40C66FF867C}">
                  <a14:compatExt spid="_x0000_s3079"/>
                </a:ext>
                <a:ext uri="{FF2B5EF4-FFF2-40B4-BE49-F238E27FC236}">
                  <a16:creationId xmlns:a16="http://schemas.microsoft.com/office/drawing/2014/main" id="{00000000-0008-0000-2000-000007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900" b="0" i="0" u="none" strike="noStrike" baseline="0">
                  <a:solidFill>
                    <a:srgbClr val="000000"/>
                  </a:solidFill>
                  <a:latin typeface="Calibri"/>
                  <a:cs typeface="Calibri"/>
                </a:rPr>
                <a:t>INTERFACE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rbaneconsa-my.sharepoint.com/Users/Karen%20van%20der%20Linde/Dropbox/Urban-Econ/1.%20Active%20Projects/7.%20Aquaculture%20Species%20Feasibility%20P1722/3.%20Deliverables/4.%20Species%20Reports/1.%20Tilapia/Final%20Nile%20Tilapia%20Economic%20Model%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Built-In Assumptions"/>
      <sheetName val="Validation"/>
      <sheetName val="Assumptions"/>
      <sheetName val="Bio-Model"/>
      <sheetName val="TEMPERATURE"/>
      <sheetName val="Production Cycle"/>
      <sheetName val="HR"/>
      <sheetName val="CAPEX"/>
      <sheetName val="BREAK-EVEN GRAPH"/>
      <sheetName val="Working Capital - RAS"/>
      <sheetName val="OPEX - RAS"/>
      <sheetName val="IS - RAS"/>
      <sheetName val="BS - RAS"/>
      <sheetName val="CF - RAS"/>
      <sheetName val="Dep_RAS"/>
      <sheetName val="IRR - RAS"/>
      <sheetName val="NPV &amp; PI - RAS"/>
      <sheetName val="LOAN AMORT. - RAS"/>
      <sheetName val="LOAN Interest &amp; Balances - RAS"/>
      <sheetName val="Working Capital- Pond"/>
      <sheetName val="OPEX - Pond"/>
      <sheetName val="IS-Pond"/>
      <sheetName val="BS - POND"/>
      <sheetName val="CF- POND"/>
      <sheetName val="DEP_POND"/>
      <sheetName val="IRR - POND"/>
      <sheetName val="NPV &amp; PI - POND"/>
      <sheetName val="LOAN AMORT.POND"/>
      <sheetName val="LOAN Interest &amp; BalancesPOND"/>
      <sheetName val="Working Capital AQUA"/>
      <sheetName val="Opex - Aquaponics"/>
      <sheetName val="IS-Aquaponics"/>
      <sheetName val="BS - Aquaponics"/>
      <sheetName val="CF - AQUAPONICS"/>
      <sheetName val="DEP_AQUAPONICS"/>
      <sheetName val="IRR - AquaPonics"/>
      <sheetName val="NPV &amp; PI - AquaPonics"/>
      <sheetName val="LOAN_AQUA"/>
      <sheetName val="LOAN_INT&amp;BALANCE_AQUA"/>
      <sheetName val="Working Capital - CAGE"/>
      <sheetName val="OPEX - CAGE"/>
      <sheetName val="IS-Cage"/>
      <sheetName val="BS - CAGE"/>
      <sheetName val="CF-CAGE"/>
      <sheetName val="DEP_CAGE"/>
      <sheetName val="IRR - CAGE"/>
      <sheetName val="NPV &amp; PI - CAGE"/>
      <sheetName val="LOAN_CAGE"/>
      <sheetName val="LOAN_INT &amp; BALANCE_CAGE"/>
      <sheetName val="RISK"/>
      <sheetName val="Main Data Sheet"/>
      <sheetName val="CAPEX POND-RAS-AQUA-CAGE"/>
      <sheetName val="Production Cycle (2)"/>
      <sheetName val="Sheet1"/>
      <sheetName val="CF SUMMARY"/>
      <sheetName val="DEPreciation_RAS"/>
      <sheetName val="IRR (2)"/>
      <sheetName val="NPV and PI"/>
      <sheetName val="CostRevenue Ratio"/>
      <sheetName val="Depreciation"/>
    </sheetNames>
    <sheetDataSet>
      <sheetData sheetId="0">
        <row r="7">
          <cell r="G7" t="str">
            <v>Pond culture</v>
          </cell>
        </row>
      </sheetData>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2.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BBE9-BB32-4F88-8ADC-DE21DA6404BB}">
  <sheetPr>
    <tabColor rgb="FFC00000"/>
  </sheetPr>
  <dimension ref="B7:T90"/>
  <sheetViews>
    <sheetView workbookViewId="0">
      <selection activeCell="D86" sqref="D86"/>
    </sheetView>
  </sheetViews>
  <sheetFormatPr defaultColWidth="9.140625" defaultRowHeight="15"/>
  <cols>
    <col min="1" max="1" width="2.5703125" style="89" customWidth="1"/>
    <col min="2" max="19" width="9.140625" style="89"/>
    <col min="20" max="20" width="14.7109375" style="89" customWidth="1"/>
    <col min="21" max="16384" width="9.140625" style="89"/>
  </cols>
  <sheetData>
    <row r="7" spans="2:20">
      <c r="B7" s="1233" t="s">
        <v>606</v>
      </c>
      <c r="C7" s="1234"/>
      <c r="D7" s="1234"/>
      <c r="E7" s="1234"/>
      <c r="F7" s="1234"/>
      <c r="G7" s="1234"/>
      <c r="H7" s="1234"/>
      <c r="I7" s="1234"/>
      <c r="J7" s="1234"/>
      <c r="K7" s="1234"/>
      <c r="L7" s="1234"/>
      <c r="M7" s="1234"/>
      <c r="N7" s="1234"/>
      <c r="O7" s="1234"/>
      <c r="P7" s="1234"/>
      <c r="Q7" s="1234"/>
      <c r="R7" s="1234"/>
      <c r="S7" s="1234"/>
      <c r="T7" s="1234"/>
    </row>
    <row r="8" spans="2:20">
      <c r="B8" s="1235" t="s">
        <v>607</v>
      </c>
      <c r="C8" s="1236" t="s">
        <v>608</v>
      </c>
      <c r="D8" s="1236"/>
      <c r="E8" s="1236"/>
      <c r="F8" s="1236"/>
      <c r="G8" s="1236"/>
      <c r="H8" s="1236"/>
      <c r="I8" s="1236"/>
      <c r="J8" s="1236"/>
      <c r="K8" s="1236"/>
      <c r="L8" s="1236"/>
      <c r="M8" s="1236"/>
      <c r="N8" s="1236"/>
      <c r="O8" s="1236"/>
      <c r="P8" s="1236"/>
      <c r="Q8" s="1236"/>
      <c r="R8" s="1236"/>
      <c r="S8" s="1236"/>
      <c r="T8" s="1237"/>
    </row>
    <row r="9" spans="2:20">
      <c r="B9" s="1235" t="s">
        <v>609</v>
      </c>
      <c r="C9" s="1236" t="s">
        <v>610</v>
      </c>
      <c r="D9" s="1236"/>
      <c r="E9" s="1236"/>
      <c r="F9" s="1236"/>
      <c r="G9" s="1236"/>
      <c r="H9" s="1236"/>
      <c r="I9" s="1236"/>
      <c r="J9" s="1236"/>
      <c r="K9" s="1236"/>
      <c r="L9" s="1236"/>
      <c r="M9" s="1236"/>
      <c r="N9" s="1236"/>
      <c r="O9" s="1236"/>
      <c r="P9" s="1236"/>
      <c r="Q9" s="1236"/>
      <c r="R9" s="1236"/>
      <c r="S9" s="1236"/>
      <c r="T9" s="1237"/>
    </row>
    <row r="10" spans="2:20">
      <c r="B10" s="1235" t="s">
        <v>611</v>
      </c>
      <c r="C10" s="1236" t="s">
        <v>612</v>
      </c>
      <c r="D10" s="1236"/>
      <c r="E10" s="1236"/>
      <c r="F10" s="1236"/>
      <c r="G10" s="1236"/>
      <c r="H10" s="1236"/>
      <c r="I10" s="1236"/>
      <c r="J10" s="1236"/>
      <c r="K10" s="1236"/>
      <c r="L10" s="1236"/>
      <c r="M10" s="1236"/>
      <c r="N10" s="1236"/>
      <c r="O10" s="1236"/>
      <c r="P10" s="1236"/>
      <c r="Q10" s="1236"/>
      <c r="R10" s="1236"/>
      <c r="S10" s="1236"/>
      <c r="T10" s="1237"/>
    </row>
    <row r="11" spans="2:20">
      <c r="B11" s="1235" t="s">
        <v>613</v>
      </c>
      <c r="C11" s="1236" t="s">
        <v>614</v>
      </c>
      <c r="D11" s="1236"/>
      <c r="E11" s="1236"/>
      <c r="F11" s="1236"/>
      <c r="G11" s="1236"/>
      <c r="H11" s="1236"/>
      <c r="I11" s="1236"/>
      <c r="J11" s="1236"/>
      <c r="K11" s="1236"/>
      <c r="L11" s="1236"/>
      <c r="M11" s="1236"/>
      <c r="N11" s="1236"/>
      <c r="O11" s="1236"/>
      <c r="P11" s="1236"/>
      <c r="Q11" s="1236"/>
      <c r="R11" s="1236"/>
      <c r="S11" s="1236"/>
      <c r="T11" s="1237"/>
    </row>
    <row r="12" spans="2:20">
      <c r="B12" s="1235" t="s">
        <v>615</v>
      </c>
      <c r="C12" s="1236" t="s">
        <v>616</v>
      </c>
      <c r="D12" s="1236"/>
      <c r="E12" s="1236"/>
      <c r="F12" s="1236"/>
      <c r="G12" s="1236"/>
      <c r="H12" s="1236"/>
      <c r="I12" s="1236"/>
      <c r="J12" s="1236"/>
      <c r="K12" s="1236"/>
      <c r="L12" s="1236"/>
      <c r="M12" s="1236"/>
      <c r="N12" s="1236"/>
      <c r="O12" s="1236"/>
      <c r="P12" s="1236"/>
      <c r="Q12" s="1236"/>
      <c r="R12" s="1236"/>
      <c r="S12" s="1236"/>
      <c r="T12" s="1237"/>
    </row>
    <row r="13" spans="2:20">
      <c r="B13" s="1235" t="s">
        <v>617</v>
      </c>
      <c r="C13" s="1236" t="s">
        <v>618</v>
      </c>
      <c r="D13" s="1236"/>
      <c r="E13" s="1236"/>
      <c r="F13" s="1236"/>
      <c r="G13" s="1236"/>
      <c r="H13" s="1236"/>
      <c r="I13" s="1236"/>
      <c r="J13" s="1236"/>
      <c r="K13" s="1236"/>
      <c r="L13" s="1236"/>
      <c r="M13" s="1236"/>
      <c r="N13" s="1236"/>
      <c r="O13" s="1236"/>
      <c r="P13" s="1236"/>
      <c r="Q13" s="1236"/>
      <c r="R13" s="1236"/>
      <c r="S13" s="1236"/>
      <c r="T13" s="1237"/>
    </row>
    <row r="14" spans="2:20">
      <c r="B14" s="1235" t="s">
        <v>619</v>
      </c>
      <c r="C14" s="1236" t="s">
        <v>620</v>
      </c>
      <c r="D14" s="1236"/>
      <c r="E14" s="1236"/>
      <c r="F14" s="1236"/>
      <c r="G14" s="1236"/>
      <c r="H14" s="1236"/>
      <c r="I14" s="1236"/>
      <c r="J14" s="1236"/>
      <c r="K14" s="1236"/>
      <c r="L14" s="1236"/>
      <c r="M14" s="1236"/>
      <c r="N14" s="1236"/>
      <c r="O14" s="1236"/>
      <c r="P14" s="1236"/>
      <c r="Q14" s="1236"/>
      <c r="R14" s="1236"/>
      <c r="S14" s="1236"/>
      <c r="T14" s="1237"/>
    </row>
    <row r="15" spans="2:20" ht="15.75" thickBot="1">
      <c r="B15" s="1238"/>
      <c r="C15" s="1239"/>
      <c r="D15" s="1239"/>
      <c r="E15" s="1239"/>
      <c r="F15" s="1239"/>
      <c r="G15" s="1239"/>
      <c r="H15" s="1239"/>
      <c r="I15" s="1239"/>
      <c r="J15" s="1239"/>
      <c r="K15" s="1239"/>
      <c r="L15" s="1239"/>
      <c r="M15" s="1239"/>
      <c r="N15" s="1239"/>
      <c r="O15" s="1239"/>
      <c r="P15" s="1239"/>
      <c r="Q15" s="1239"/>
      <c r="R15" s="1239"/>
      <c r="S15" s="1239"/>
      <c r="T15" s="1240"/>
    </row>
    <row r="17" spans="2:20" ht="15.75" thickBot="1">
      <c r="B17" s="1233" t="s">
        <v>621</v>
      </c>
      <c r="C17" s="1234"/>
      <c r="D17" s="1234"/>
      <c r="E17" s="1234"/>
      <c r="F17" s="1234"/>
      <c r="G17" s="1234"/>
      <c r="H17" s="1234"/>
      <c r="I17" s="1234"/>
      <c r="J17" s="1234"/>
      <c r="K17" s="1234"/>
      <c r="L17" s="1234"/>
      <c r="M17" s="1234"/>
      <c r="N17" s="1234"/>
      <c r="O17" s="1234"/>
      <c r="P17" s="1234"/>
      <c r="Q17" s="1234"/>
      <c r="R17" s="1234"/>
      <c r="S17" s="1234"/>
      <c r="T17" s="1234"/>
    </row>
    <row r="18" spans="2:20">
      <c r="B18" s="1241"/>
      <c r="C18" s="1242"/>
      <c r="D18" s="1242"/>
      <c r="E18" s="1242"/>
      <c r="F18" s="1242"/>
      <c r="G18" s="1242"/>
      <c r="H18" s="1242"/>
      <c r="I18" s="1242"/>
      <c r="J18" s="1242"/>
      <c r="K18" s="1242"/>
      <c r="L18" s="1242"/>
      <c r="M18" s="1242"/>
      <c r="N18" s="1242"/>
      <c r="O18" s="1242"/>
      <c r="P18" s="1242"/>
      <c r="Q18" s="1242"/>
      <c r="R18" s="1242"/>
      <c r="S18" s="1242"/>
      <c r="T18" s="1243"/>
    </row>
    <row r="19" spans="2:20">
      <c r="B19" s="1244"/>
      <c r="C19" s="1245"/>
      <c r="D19" s="1245"/>
      <c r="E19" s="1245"/>
      <c r="F19" s="1245"/>
      <c r="G19" s="1245"/>
      <c r="H19" s="1245"/>
      <c r="I19" s="1245"/>
      <c r="J19" s="1245"/>
      <c r="K19" s="1245"/>
      <c r="L19" s="1245"/>
      <c r="M19" s="1245"/>
      <c r="N19" s="1245"/>
      <c r="O19" s="1245"/>
      <c r="P19" s="1245"/>
      <c r="Q19" s="1245"/>
      <c r="R19" s="1245"/>
      <c r="S19" s="1245"/>
      <c r="T19" s="1246"/>
    </row>
    <row r="20" spans="2:20">
      <c r="B20" s="1244"/>
      <c r="C20" s="1245"/>
      <c r="D20" s="1245"/>
      <c r="E20" s="1245"/>
      <c r="F20" s="1245"/>
      <c r="G20" s="1245"/>
      <c r="H20" s="1245"/>
      <c r="I20" s="1245"/>
      <c r="J20" s="1245"/>
      <c r="K20" s="1245"/>
      <c r="L20" s="1245"/>
      <c r="M20" s="1245"/>
      <c r="N20" s="1245"/>
      <c r="O20" s="1245"/>
      <c r="P20" s="1245"/>
      <c r="Q20" s="1245"/>
      <c r="R20" s="1245"/>
      <c r="S20" s="1245"/>
      <c r="T20" s="1246"/>
    </row>
    <row r="21" spans="2:20">
      <c r="B21" s="1244"/>
      <c r="C21" s="1245"/>
      <c r="D21" s="1245"/>
      <c r="E21" s="1245"/>
      <c r="F21" s="1245"/>
      <c r="G21" s="1245"/>
      <c r="H21" s="1245"/>
      <c r="I21" s="1245"/>
      <c r="J21" s="1245"/>
      <c r="K21" s="1245"/>
      <c r="L21" s="1245"/>
      <c r="M21" s="1245"/>
      <c r="N21" s="1245"/>
      <c r="O21" s="1245"/>
      <c r="P21" s="1245"/>
      <c r="Q21" s="1245"/>
      <c r="R21" s="1245"/>
      <c r="S21" s="1245"/>
      <c r="T21" s="1246"/>
    </row>
    <row r="22" spans="2:20">
      <c r="B22" s="1244"/>
      <c r="C22" s="1245"/>
      <c r="D22" s="1245"/>
      <c r="E22" s="1245"/>
      <c r="F22" s="1245"/>
      <c r="G22" s="1245"/>
      <c r="H22" s="1245"/>
      <c r="I22" s="1245"/>
      <c r="J22" s="1245"/>
      <c r="K22" s="1245"/>
      <c r="L22" s="1245"/>
      <c r="M22" s="1245"/>
      <c r="N22" s="1245"/>
      <c r="O22" s="1245"/>
      <c r="P22" s="1245"/>
      <c r="Q22" s="1245"/>
      <c r="R22" s="1245"/>
      <c r="S22" s="1245"/>
      <c r="T22" s="1246"/>
    </row>
    <row r="23" spans="2:20">
      <c r="B23" s="1244"/>
      <c r="C23" s="1245"/>
      <c r="D23" s="1245"/>
      <c r="E23" s="1245"/>
      <c r="F23" s="1245"/>
      <c r="G23" s="1245"/>
      <c r="H23" s="1245"/>
      <c r="I23" s="1245"/>
      <c r="J23" s="1245"/>
      <c r="K23" s="1245"/>
      <c r="L23" s="1245"/>
      <c r="M23" s="1245"/>
      <c r="N23" s="1245"/>
      <c r="O23" s="1245"/>
      <c r="P23" s="1245"/>
      <c r="Q23" s="1245"/>
      <c r="R23" s="1245"/>
      <c r="S23" s="1245"/>
      <c r="T23" s="1246"/>
    </row>
    <row r="24" spans="2:20">
      <c r="B24" s="1244"/>
      <c r="C24" s="1245"/>
      <c r="D24" s="1245"/>
      <c r="E24" s="1245"/>
      <c r="F24" s="1245"/>
      <c r="G24" s="1245"/>
      <c r="H24" s="1245"/>
      <c r="I24" s="1245"/>
      <c r="J24" s="1245"/>
      <c r="K24" s="1245"/>
      <c r="L24" s="1245"/>
      <c r="M24" s="1245"/>
      <c r="N24" s="1245"/>
      <c r="O24" s="1245"/>
      <c r="P24" s="1245"/>
      <c r="Q24" s="1245"/>
      <c r="R24" s="1245"/>
      <c r="S24" s="1245"/>
      <c r="T24" s="1246"/>
    </row>
    <row r="25" spans="2:20">
      <c r="B25" s="1244"/>
      <c r="C25" s="1245"/>
      <c r="D25" s="1245"/>
      <c r="E25" s="1245"/>
      <c r="F25" s="1245"/>
      <c r="G25" s="1245"/>
      <c r="H25" s="1245"/>
      <c r="I25" s="1245"/>
      <c r="J25" s="1245"/>
      <c r="K25" s="1245"/>
      <c r="L25" s="1245"/>
      <c r="M25" s="1245"/>
      <c r="N25" s="1245"/>
      <c r="O25" s="1245"/>
      <c r="P25" s="1245"/>
      <c r="Q25" s="1245"/>
      <c r="R25" s="1245"/>
      <c r="S25" s="1245"/>
      <c r="T25" s="1246"/>
    </row>
    <row r="26" spans="2:20">
      <c r="B26" s="1244"/>
      <c r="C26" s="1245"/>
      <c r="D26" s="1245"/>
      <c r="E26" s="1245"/>
      <c r="F26" s="1245"/>
      <c r="G26" s="1245"/>
      <c r="H26" s="1245"/>
      <c r="I26" s="1245"/>
      <c r="J26" s="1245"/>
      <c r="K26" s="1245"/>
      <c r="L26" s="1245"/>
      <c r="M26" s="1245"/>
      <c r="N26" s="1245"/>
      <c r="O26" s="1245"/>
      <c r="P26" s="1245"/>
      <c r="Q26" s="1245"/>
      <c r="R26" s="1245"/>
      <c r="S26" s="1245"/>
      <c r="T26" s="1246"/>
    </row>
    <row r="27" spans="2:20">
      <c r="B27" s="1244"/>
      <c r="C27" s="1245"/>
      <c r="D27" s="1245"/>
      <c r="E27" s="1245"/>
      <c r="F27" s="1245"/>
      <c r="G27" s="1245"/>
      <c r="H27" s="1245"/>
      <c r="I27" s="1245"/>
      <c r="J27" s="1245"/>
      <c r="K27" s="1245"/>
      <c r="L27" s="1245"/>
      <c r="M27" s="1245"/>
      <c r="N27" s="1245"/>
      <c r="O27" s="1245"/>
      <c r="P27" s="1245"/>
      <c r="Q27" s="1245"/>
      <c r="R27" s="1245"/>
      <c r="S27" s="1245"/>
      <c r="T27" s="1246"/>
    </row>
    <row r="28" spans="2:20">
      <c r="B28" s="1244"/>
      <c r="C28" s="1245"/>
      <c r="D28" s="1245"/>
      <c r="E28" s="1245"/>
      <c r="F28" s="1245"/>
      <c r="G28" s="1245"/>
      <c r="H28" s="1245"/>
      <c r="I28" s="1245"/>
      <c r="J28" s="1245"/>
      <c r="K28" s="1245"/>
      <c r="L28" s="1245"/>
      <c r="M28" s="1245"/>
      <c r="N28" s="1245"/>
      <c r="O28" s="1245"/>
      <c r="P28" s="1245"/>
      <c r="Q28" s="1245"/>
      <c r="R28" s="1245"/>
      <c r="S28" s="1245"/>
      <c r="T28" s="1246"/>
    </row>
    <row r="29" spans="2:20">
      <c r="B29" s="1244"/>
      <c r="C29" s="1245"/>
      <c r="D29" s="1245"/>
      <c r="E29" s="1245"/>
      <c r="F29" s="1245"/>
      <c r="G29" s="1245"/>
      <c r="H29" s="1245"/>
      <c r="I29" s="1245"/>
      <c r="J29" s="1245"/>
      <c r="K29" s="1245"/>
      <c r="L29" s="1245"/>
      <c r="M29" s="1245"/>
      <c r="N29" s="1245"/>
      <c r="O29" s="1245"/>
      <c r="P29" s="1245"/>
      <c r="Q29" s="1245"/>
      <c r="R29" s="1245"/>
      <c r="S29" s="1245"/>
      <c r="T29" s="1246"/>
    </row>
    <row r="30" spans="2:20">
      <c r="B30" s="1244"/>
      <c r="C30" s="1245"/>
      <c r="D30" s="1245"/>
      <c r="E30" s="1245"/>
      <c r="F30" s="1245"/>
      <c r="G30" s="1245"/>
      <c r="H30" s="1245"/>
      <c r="I30" s="1245"/>
      <c r="J30" s="1245"/>
      <c r="K30" s="1245"/>
      <c r="L30" s="1245"/>
      <c r="M30" s="1245"/>
      <c r="N30" s="1245"/>
      <c r="O30" s="1245"/>
      <c r="P30" s="1245"/>
      <c r="Q30" s="1245"/>
      <c r="R30" s="1245"/>
      <c r="S30" s="1245"/>
      <c r="T30" s="1246"/>
    </row>
    <row r="31" spans="2:20">
      <c r="B31" s="1244"/>
      <c r="C31" s="1245"/>
      <c r="D31" s="1245"/>
      <c r="E31" s="1245"/>
      <c r="F31" s="1245"/>
      <c r="G31" s="1245"/>
      <c r="H31" s="1245"/>
      <c r="I31" s="1245"/>
      <c r="J31" s="1245"/>
      <c r="K31" s="1245"/>
      <c r="L31" s="1245"/>
      <c r="M31" s="1245"/>
      <c r="N31" s="1245"/>
      <c r="O31" s="1245"/>
      <c r="P31" s="1245"/>
      <c r="Q31" s="1245"/>
      <c r="R31" s="1245"/>
      <c r="S31" s="1245"/>
      <c r="T31" s="1246"/>
    </row>
    <row r="32" spans="2:20" ht="15.75" thickBot="1">
      <c r="B32" s="1247"/>
      <c r="C32" s="1248"/>
      <c r="D32" s="1248"/>
      <c r="E32" s="1248"/>
      <c r="F32" s="1248"/>
      <c r="G32" s="1248"/>
      <c r="H32" s="1248"/>
      <c r="I32" s="1248"/>
      <c r="J32" s="1248"/>
      <c r="K32" s="1248"/>
      <c r="L32" s="1248"/>
      <c r="M32" s="1248"/>
      <c r="N32" s="1248"/>
      <c r="O32" s="1248"/>
      <c r="P32" s="1248"/>
      <c r="Q32" s="1248"/>
      <c r="R32" s="1248"/>
      <c r="S32" s="1248"/>
      <c r="T32" s="1249"/>
    </row>
    <row r="34" spans="2:20" ht="15.75" thickBot="1">
      <c r="B34" s="1233" t="s">
        <v>622</v>
      </c>
      <c r="C34" s="1234"/>
      <c r="D34" s="1234"/>
      <c r="E34" s="1234"/>
      <c r="F34" s="1234"/>
      <c r="G34" s="1234"/>
      <c r="H34" s="1234"/>
      <c r="I34" s="1234"/>
      <c r="J34" s="1234"/>
      <c r="K34" s="1234"/>
      <c r="L34" s="1234"/>
      <c r="M34" s="1234"/>
      <c r="N34" s="1234"/>
      <c r="O34" s="1234"/>
      <c r="P34" s="1234"/>
      <c r="Q34" s="1234"/>
      <c r="R34" s="1234"/>
      <c r="S34" s="1234"/>
      <c r="T34" s="1234"/>
    </row>
    <row r="35" spans="2:20">
      <c r="B35" s="1241"/>
      <c r="C35" s="1242"/>
      <c r="D35" s="1242"/>
      <c r="E35" s="1242"/>
      <c r="F35" s="1242"/>
      <c r="G35" s="1242"/>
      <c r="H35" s="1242"/>
      <c r="I35" s="1242"/>
      <c r="J35" s="1242"/>
      <c r="K35" s="1242"/>
      <c r="L35" s="1242"/>
      <c r="M35" s="1242"/>
      <c r="N35" s="1242"/>
      <c r="O35" s="1242"/>
      <c r="P35" s="1242"/>
      <c r="Q35" s="1242"/>
      <c r="R35" s="1242"/>
      <c r="S35" s="1242"/>
      <c r="T35" s="1243"/>
    </row>
    <row r="36" spans="2:20">
      <c r="B36" s="1244"/>
      <c r="C36" s="1245"/>
      <c r="D36" s="1245"/>
      <c r="E36" s="1245"/>
      <c r="F36" s="1245"/>
      <c r="G36" s="1245"/>
      <c r="H36" s="1245"/>
      <c r="I36" s="1245"/>
      <c r="J36" s="1245"/>
      <c r="K36" s="1245"/>
      <c r="L36" s="1245"/>
      <c r="M36" s="1245"/>
      <c r="N36" s="1245"/>
      <c r="O36" s="1245"/>
      <c r="P36" s="1245"/>
      <c r="Q36" s="1245"/>
      <c r="R36" s="1245"/>
      <c r="S36" s="1245"/>
      <c r="T36" s="1246"/>
    </row>
    <row r="37" spans="2:20">
      <c r="B37" s="1244"/>
      <c r="C37" s="1245"/>
      <c r="D37" s="1245"/>
      <c r="E37" s="1245"/>
      <c r="F37" s="1245"/>
      <c r="G37" s="1245"/>
      <c r="H37" s="1245"/>
      <c r="I37" s="1245"/>
      <c r="J37" s="1245"/>
      <c r="K37" s="1245"/>
      <c r="L37" s="1245"/>
      <c r="M37" s="1245"/>
      <c r="N37" s="1245"/>
      <c r="O37" s="1245"/>
      <c r="P37" s="1245"/>
      <c r="Q37" s="1245"/>
      <c r="R37" s="1245"/>
      <c r="S37" s="1245"/>
      <c r="T37" s="1246"/>
    </row>
    <row r="38" spans="2:20">
      <c r="B38" s="1244"/>
      <c r="C38" s="1245"/>
      <c r="D38" s="1245"/>
      <c r="E38" s="1245"/>
      <c r="F38" s="1245"/>
      <c r="G38" s="1245"/>
      <c r="H38" s="1245"/>
      <c r="I38" s="1245"/>
      <c r="J38" s="1245"/>
      <c r="K38" s="1245"/>
      <c r="L38" s="1245"/>
      <c r="M38" s="1245"/>
      <c r="N38" s="1245"/>
      <c r="O38" s="1245"/>
      <c r="P38" s="1245"/>
      <c r="Q38" s="1245"/>
      <c r="R38" s="1245"/>
      <c r="S38" s="1245"/>
      <c r="T38" s="1246"/>
    </row>
    <row r="39" spans="2:20">
      <c r="B39" s="1244"/>
      <c r="C39" s="1245"/>
      <c r="D39" s="1245"/>
      <c r="E39" s="1245"/>
      <c r="F39" s="1245"/>
      <c r="G39" s="1245"/>
      <c r="H39" s="1245"/>
      <c r="I39" s="1245"/>
      <c r="J39" s="1245"/>
      <c r="K39" s="1245"/>
      <c r="L39" s="1245"/>
      <c r="M39" s="1245"/>
      <c r="N39" s="1245"/>
      <c r="O39" s="1245"/>
      <c r="P39" s="1245"/>
      <c r="Q39" s="1245"/>
      <c r="R39" s="1245"/>
      <c r="S39" s="1245"/>
      <c r="T39" s="1246"/>
    </row>
    <row r="40" spans="2:20">
      <c r="B40" s="1244"/>
      <c r="C40" s="1245"/>
      <c r="D40" s="1245"/>
      <c r="E40" s="1245"/>
      <c r="F40" s="1245"/>
      <c r="G40" s="1245"/>
      <c r="H40" s="1245"/>
      <c r="I40" s="1245"/>
      <c r="J40" s="1245"/>
      <c r="K40" s="1245"/>
      <c r="L40" s="1245"/>
      <c r="M40" s="1245"/>
      <c r="N40" s="1245"/>
      <c r="O40" s="1245"/>
      <c r="P40" s="1245"/>
      <c r="Q40" s="1245"/>
      <c r="R40" s="1245"/>
      <c r="S40" s="1245"/>
      <c r="T40" s="1246"/>
    </row>
    <row r="41" spans="2:20">
      <c r="B41" s="1244"/>
      <c r="C41" s="1245"/>
      <c r="D41" s="1245"/>
      <c r="E41" s="1245"/>
      <c r="F41" s="1245"/>
      <c r="G41" s="1245"/>
      <c r="H41" s="1245"/>
      <c r="I41" s="1245"/>
      <c r="J41" s="1245"/>
      <c r="K41" s="1245"/>
      <c r="L41" s="1245"/>
      <c r="M41" s="1245"/>
      <c r="N41" s="1245"/>
      <c r="O41" s="1245"/>
      <c r="P41" s="1245"/>
      <c r="Q41" s="1245"/>
      <c r="R41" s="1245"/>
      <c r="S41" s="1245"/>
      <c r="T41" s="1246"/>
    </row>
    <row r="42" spans="2:20">
      <c r="B42" s="1244"/>
      <c r="C42" s="1245"/>
      <c r="D42" s="1245"/>
      <c r="E42" s="1245"/>
      <c r="F42" s="1245"/>
      <c r="G42" s="1245"/>
      <c r="H42" s="1245"/>
      <c r="I42" s="1245"/>
      <c r="J42" s="1245"/>
      <c r="K42" s="1245"/>
      <c r="L42" s="1245"/>
      <c r="M42" s="1245"/>
      <c r="N42" s="1245"/>
      <c r="O42" s="1245"/>
      <c r="P42" s="1245"/>
      <c r="Q42" s="1245"/>
      <c r="R42" s="1245"/>
      <c r="S42" s="1245"/>
      <c r="T42" s="1246"/>
    </row>
    <row r="43" spans="2:20">
      <c r="B43" s="1244"/>
      <c r="C43" s="1245"/>
      <c r="D43" s="1245"/>
      <c r="E43" s="1245"/>
      <c r="F43" s="1245"/>
      <c r="G43" s="1245"/>
      <c r="H43" s="1245"/>
      <c r="I43" s="1245"/>
      <c r="J43" s="1245"/>
      <c r="K43" s="1245"/>
      <c r="L43" s="1245"/>
      <c r="M43" s="1245"/>
      <c r="N43" s="1245"/>
      <c r="O43" s="1245"/>
      <c r="P43" s="1245"/>
      <c r="Q43" s="1245"/>
      <c r="R43" s="1245"/>
      <c r="S43" s="1245"/>
      <c r="T43" s="1246"/>
    </row>
    <row r="44" spans="2:20">
      <c r="B44" s="1244"/>
      <c r="C44" s="1245"/>
      <c r="D44" s="1245"/>
      <c r="E44" s="1245"/>
      <c r="F44" s="1245"/>
      <c r="G44" s="1245"/>
      <c r="H44" s="1245"/>
      <c r="I44" s="1245"/>
      <c r="J44" s="1245"/>
      <c r="K44" s="1245"/>
      <c r="L44" s="1245"/>
      <c r="M44" s="1245"/>
      <c r="N44" s="1245"/>
      <c r="O44" s="1245"/>
      <c r="P44" s="1245"/>
      <c r="Q44" s="1245"/>
      <c r="R44" s="1245"/>
      <c r="S44" s="1245"/>
      <c r="T44" s="1246"/>
    </row>
    <row r="45" spans="2:20">
      <c r="B45" s="1244"/>
      <c r="C45" s="1245"/>
      <c r="D45" s="1245"/>
      <c r="E45" s="1245"/>
      <c r="F45" s="1245"/>
      <c r="G45" s="1245"/>
      <c r="H45" s="1245"/>
      <c r="I45" s="1245"/>
      <c r="J45" s="1245"/>
      <c r="K45" s="1245"/>
      <c r="L45" s="1245"/>
      <c r="M45" s="1245"/>
      <c r="N45" s="1245"/>
      <c r="O45" s="1245"/>
      <c r="P45" s="1245"/>
      <c r="Q45" s="1245"/>
      <c r="R45" s="1245"/>
      <c r="S45" s="1245"/>
      <c r="T45" s="1246"/>
    </row>
    <row r="46" spans="2:20">
      <c r="B46" s="1244"/>
      <c r="C46" s="1245"/>
      <c r="D46" s="1245"/>
      <c r="E46" s="1245"/>
      <c r="F46" s="1245"/>
      <c r="G46" s="1245"/>
      <c r="H46" s="1245"/>
      <c r="I46" s="1245"/>
      <c r="J46" s="1245"/>
      <c r="K46" s="1245"/>
      <c r="L46" s="1245"/>
      <c r="M46" s="1245"/>
      <c r="N46" s="1245"/>
      <c r="O46" s="1245"/>
      <c r="P46" s="1245"/>
      <c r="Q46" s="1245"/>
      <c r="R46" s="1245"/>
      <c r="S46" s="1245"/>
      <c r="T46" s="1246"/>
    </row>
    <row r="47" spans="2:20">
      <c r="B47" s="1244"/>
      <c r="C47" s="1245"/>
      <c r="D47" s="1245"/>
      <c r="E47" s="1245"/>
      <c r="F47" s="1245"/>
      <c r="G47" s="1245"/>
      <c r="H47" s="1245"/>
      <c r="I47" s="1245"/>
      <c r="J47" s="1245"/>
      <c r="K47" s="1245"/>
      <c r="L47" s="1245"/>
      <c r="M47" s="1245"/>
      <c r="N47" s="1245"/>
      <c r="O47" s="1245"/>
      <c r="P47" s="1245"/>
      <c r="Q47" s="1245"/>
      <c r="R47" s="1245"/>
      <c r="S47" s="1245"/>
      <c r="T47" s="1246"/>
    </row>
    <row r="48" spans="2:20">
      <c r="B48" s="1244"/>
      <c r="C48" s="1245"/>
      <c r="D48" s="1245"/>
      <c r="E48" s="1245"/>
      <c r="F48" s="1245"/>
      <c r="G48" s="1245"/>
      <c r="H48" s="1245"/>
      <c r="I48" s="1245"/>
      <c r="J48" s="1245"/>
      <c r="K48" s="1245"/>
      <c r="L48" s="1245"/>
      <c r="M48" s="1245"/>
      <c r="N48" s="1245"/>
      <c r="O48" s="1245"/>
      <c r="P48" s="1245"/>
      <c r="Q48" s="1245"/>
      <c r="R48" s="1245"/>
      <c r="S48" s="1245"/>
      <c r="T48" s="1246"/>
    </row>
    <row r="49" spans="2:20">
      <c r="B49" s="1244"/>
      <c r="C49" s="1245"/>
      <c r="D49" s="1245"/>
      <c r="E49" s="1245"/>
      <c r="F49" s="1245"/>
      <c r="G49" s="1245"/>
      <c r="H49" s="1245"/>
      <c r="I49" s="1245"/>
      <c r="J49" s="1245"/>
      <c r="K49" s="1245"/>
      <c r="L49" s="1245"/>
      <c r="M49" s="1245"/>
      <c r="N49" s="1245"/>
      <c r="O49" s="1245"/>
      <c r="P49" s="1245"/>
      <c r="Q49" s="1245"/>
      <c r="R49" s="1245"/>
      <c r="S49" s="1245"/>
      <c r="T49" s="1246"/>
    </row>
    <row r="50" spans="2:20">
      <c r="B50" s="1244"/>
      <c r="C50" s="1245"/>
      <c r="D50" s="1245"/>
      <c r="E50" s="1245"/>
      <c r="F50" s="1245"/>
      <c r="G50" s="1245"/>
      <c r="H50" s="1245"/>
      <c r="I50" s="1245"/>
      <c r="J50" s="1245"/>
      <c r="K50" s="1245"/>
      <c r="L50" s="1245"/>
      <c r="M50" s="1245"/>
      <c r="N50" s="1245"/>
      <c r="O50" s="1245"/>
      <c r="P50" s="1245"/>
      <c r="Q50" s="1245"/>
      <c r="R50" s="1245"/>
      <c r="S50" s="1245"/>
      <c r="T50" s="1246"/>
    </row>
    <row r="51" spans="2:20">
      <c r="B51" s="1244"/>
      <c r="C51" s="1245"/>
      <c r="D51" s="1245"/>
      <c r="E51" s="1245"/>
      <c r="F51" s="1245"/>
      <c r="G51" s="1245"/>
      <c r="H51" s="1245"/>
      <c r="I51" s="1245"/>
      <c r="J51" s="1245"/>
      <c r="K51" s="1245"/>
      <c r="L51" s="1245"/>
      <c r="M51" s="1245"/>
      <c r="N51" s="1245"/>
      <c r="O51" s="1245"/>
      <c r="P51" s="1245"/>
      <c r="Q51" s="1245"/>
      <c r="R51" s="1245"/>
      <c r="S51" s="1245"/>
      <c r="T51" s="1246"/>
    </row>
    <row r="52" spans="2:20" ht="15.75" thickBot="1">
      <c r="B52" s="1247"/>
      <c r="C52" s="1248"/>
      <c r="D52" s="1248"/>
      <c r="E52" s="1248"/>
      <c r="F52" s="1248"/>
      <c r="G52" s="1248"/>
      <c r="H52" s="1248"/>
      <c r="I52" s="1248"/>
      <c r="J52" s="1248"/>
      <c r="K52" s="1248"/>
      <c r="L52" s="1248"/>
      <c r="M52" s="1248"/>
      <c r="N52" s="1248"/>
      <c r="O52" s="1248"/>
      <c r="P52" s="1248"/>
      <c r="Q52" s="1248"/>
      <c r="R52" s="1248"/>
      <c r="S52" s="1248"/>
      <c r="T52" s="1249"/>
    </row>
    <row r="54" spans="2:20" ht="15.75" thickBot="1">
      <c r="B54" s="1233" t="s">
        <v>623</v>
      </c>
      <c r="C54" s="1234"/>
      <c r="D54" s="1234"/>
      <c r="E54" s="1234"/>
      <c r="F54" s="1234"/>
      <c r="G54" s="1234"/>
      <c r="H54" s="1234"/>
      <c r="I54" s="1234"/>
      <c r="J54" s="1234"/>
      <c r="K54" s="1234"/>
      <c r="L54" s="1234"/>
      <c r="M54" s="1234"/>
      <c r="N54" s="1234"/>
      <c r="O54" s="1234"/>
      <c r="P54" s="1234"/>
      <c r="Q54" s="1234"/>
      <c r="R54" s="1234"/>
      <c r="S54" s="1234"/>
      <c r="T54" s="1234"/>
    </row>
    <row r="55" spans="2:20">
      <c r="B55" s="1241"/>
      <c r="C55" s="1242"/>
      <c r="D55" s="1242"/>
      <c r="E55" s="1242"/>
      <c r="F55" s="1242"/>
      <c r="G55" s="1242"/>
      <c r="H55" s="1242"/>
      <c r="I55" s="1242"/>
      <c r="J55" s="1242"/>
      <c r="K55" s="1242"/>
      <c r="L55" s="1242"/>
      <c r="M55" s="1242"/>
      <c r="N55" s="1242"/>
      <c r="O55" s="1242"/>
      <c r="P55" s="1242"/>
      <c r="Q55" s="1242"/>
      <c r="R55" s="1242"/>
      <c r="S55" s="1242"/>
      <c r="T55" s="1243"/>
    </row>
    <row r="56" spans="2:20">
      <c r="B56" s="1244"/>
      <c r="C56" s="1245"/>
      <c r="D56" s="1245"/>
      <c r="E56" s="1245"/>
      <c r="F56" s="1245"/>
      <c r="G56" s="1245"/>
      <c r="H56" s="1245"/>
      <c r="I56" s="1245"/>
      <c r="J56" s="1245"/>
      <c r="K56" s="1245"/>
      <c r="L56" s="1245"/>
      <c r="M56" s="1245"/>
      <c r="N56" s="1245"/>
      <c r="O56" s="1245"/>
      <c r="P56" s="1245"/>
      <c r="Q56" s="1245"/>
      <c r="R56" s="1245"/>
      <c r="S56" s="1245"/>
      <c r="T56" s="1246"/>
    </row>
    <row r="57" spans="2:20">
      <c r="B57" s="1244"/>
      <c r="C57" s="1245"/>
      <c r="D57" s="1245"/>
      <c r="E57" s="1245"/>
      <c r="F57" s="1245"/>
      <c r="G57" s="1245"/>
      <c r="H57" s="1245"/>
      <c r="I57" s="1245"/>
      <c r="J57" s="1245"/>
      <c r="K57" s="1245"/>
      <c r="L57" s="1245"/>
      <c r="M57" s="1245"/>
      <c r="N57" s="1245"/>
      <c r="O57" s="1245"/>
      <c r="P57" s="1245"/>
      <c r="Q57" s="1245"/>
      <c r="R57" s="1245"/>
      <c r="S57" s="1245"/>
      <c r="T57" s="1246"/>
    </row>
    <row r="58" spans="2:20">
      <c r="B58" s="1244"/>
      <c r="C58" s="1245"/>
      <c r="D58" s="1245"/>
      <c r="E58" s="1245"/>
      <c r="F58" s="1245"/>
      <c r="G58" s="1245"/>
      <c r="H58" s="1245"/>
      <c r="I58" s="1245"/>
      <c r="J58" s="1245"/>
      <c r="K58" s="1245"/>
      <c r="L58" s="1245"/>
      <c r="M58" s="1245"/>
      <c r="N58" s="1245"/>
      <c r="O58" s="1245"/>
      <c r="P58" s="1245"/>
      <c r="Q58" s="1245"/>
      <c r="R58" s="1245"/>
      <c r="S58" s="1245"/>
      <c r="T58" s="1246"/>
    </row>
    <row r="59" spans="2:20">
      <c r="B59" s="1244"/>
      <c r="C59" s="1245"/>
      <c r="D59" s="1245"/>
      <c r="E59" s="1245"/>
      <c r="F59" s="1245"/>
      <c r="G59" s="1245"/>
      <c r="H59" s="1245"/>
      <c r="I59" s="1245"/>
      <c r="J59" s="1245"/>
      <c r="K59" s="1245"/>
      <c r="L59" s="1245"/>
      <c r="M59" s="1245"/>
      <c r="N59" s="1245"/>
      <c r="O59" s="1245"/>
      <c r="P59" s="1245"/>
      <c r="Q59" s="1245"/>
      <c r="R59" s="1245"/>
      <c r="S59" s="1245"/>
      <c r="T59" s="1246"/>
    </row>
    <row r="60" spans="2:20">
      <c r="B60" s="1244"/>
      <c r="C60" s="1245"/>
      <c r="D60" s="1245"/>
      <c r="E60" s="1245"/>
      <c r="F60" s="1245"/>
      <c r="G60" s="1245"/>
      <c r="H60" s="1245"/>
      <c r="I60" s="1245"/>
      <c r="J60" s="1245"/>
      <c r="K60" s="1245"/>
      <c r="L60" s="1245"/>
      <c r="M60" s="1245"/>
      <c r="N60" s="1245"/>
      <c r="O60" s="1245"/>
      <c r="P60" s="1245"/>
      <c r="Q60" s="1245"/>
      <c r="R60" s="1245"/>
      <c r="S60" s="1245"/>
      <c r="T60" s="1246"/>
    </row>
    <row r="61" spans="2:20">
      <c r="B61" s="1244"/>
      <c r="C61" s="1245"/>
      <c r="D61" s="1245"/>
      <c r="E61" s="1245"/>
      <c r="F61" s="1245"/>
      <c r="G61" s="1245"/>
      <c r="H61" s="1245"/>
      <c r="I61" s="1245"/>
      <c r="J61" s="1245"/>
      <c r="K61" s="1245"/>
      <c r="L61" s="1245"/>
      <c r="M61" s="1245"/>
      <c r="N61" s="1245"/>
      <c r="O61" s="1245"/>
      <c r="P61" s="1245"/>
      <c r="Q61" s="1245"/>
      <c r="R61" s="1245"/>
      <c r="S61" s="1245"/>
      <c r="T61" s="1246"/>
    </row>
    <row r="62" spans="2:20">
      <c r="B62" s="1244"/>
      <c r="C62" s="1245"/>
      <c r="D62" s="1245"/>
      <c r="E62" s="1245"/>
      <c r="F62" s="1245"/>
      <c r="G62" s="1245"/>
      <c r="H62" s="1245"/>
      <c r="I62" s="1245"/>
      <c r="J62" s="1245"/>
      <c r="K62" s="1245"/>
      <c r="L62" s="1245"/>
      <c r="M62" s="1245"/>
      <c r="N62" s="1245"/>
      <c r="O62" s="1245"/>
      <c r="P62" s="1245"/>
      <c r="Q62" s="1245"/>
      <c r="R62" s="1245"/>
      <c r="S62" s="1245"/>
      <c r="T62" s="1246"/>
    </row>
    <row r="63" spans="2:20">
      <c r="B63" s="1244"/>
      <c r="C63" s="1245"/>
      <c r="D63" s="1245"/>
      <c r="E63" s="1245"/>
      <c r="F63" s="1245"/>
      <c r="G63" s="1245"/>
      <c r="H63" s="1245"/>
      <c r="I63" s="1245"/>
      <c r="J63" s="1245"/>
      <c r="K63" s="1245"/>
      <c r="L63" s="1245"/>
      <c r="M63" s="1245"/>
      <c r="N63" s="1245"/>
      <c r="O63" s="1245"/>
      <c r="P63" s="1245"/>
      <c r="Q63" s="1245"/>
      <c r="R63" s="1245"/>
      <c r="S63" s="1245"/>
      <c r="T63" s="1246"/>
    </row>
    <row r="64" spans="2:20">
      <c r="B64" s="1244"/>
      <c r="C64" s="1245"/>
      <c r="D64" s="1245"/>
      <c r="E64" s="1245"/>
      <c r="F64" s="1245"/>
      <c r="G64" s="1245"/>
      <c r="H64" s="1245"/>
      <c r="I64" s="1245"/>
      <c r="J64" s="1245"/>
      <c r="K64" s="1245"/>
      <c r="L64" s="1245"/>
      <c r="M64" s="1245"/>
      <c r="N64" s="1245"/>
      <c r="O64" s="1245"/>
      <c r="P64" s="1245"/>
      <c r="Q64" s="1245"/>
      <c r="R64" s="1245"/>
      <c r="S64" s="1245"/>
      <c r="T64" s="1246"/>
    </row>
    <row r="65" spans="2:20">
      <c r="B65" s="1244"/>
      <c r="C65" s="1245"/>
      <c r="D65" s="1245"/>
      <c r="E65" s="1245"/>
      <c r="F65" s="1245"/>
      <c r="G65" s="1245"/>
      <c r="H65" s="1245"/>
      <c r="I65" s="1245"/>
      <c r="J65" s="1245"/>
      <c r="K65" s="1245"/>
      <c r="L65" s="1245"/>
      <c r="M65" s="1245"/>
      <c r="N65" s="1245"/>
      <c r="O65" s="1245"/>
      <c r="P65" s="1245"/>
      <c r="Q65" s="1245"/>
      <c r="R65" s="1245"/>
      <c r="S65" s="1245"/>
      <c r="T65" s="1246"/>
    </row>
    <row r="66" spans="2:20">
      <c r="B66" s="1244"/>
      <c r="C66" s="1245"/>
      <c r="D66" s="1245"/>
      <c r="E66" s="1245"/>
      <c r="F66" s="1245"/>
      <c r="G66" s="1245"/>
      <c r="H66" s="1245"/>
      <c r="I66" s="1245"/>
      <c r="J66" s="1245"/>
      <c r="K66" s="1245"/>
      <c r="L66" s="1245"/>
      <c r="M66" s="1245"/>
      <c r="N66" s="1245"/>
      <c r="O66" s="1245"/>
      <c r="P66" s="1245"/>
      <c r="Q66" s="1245"/>
      <c r="R66" s="1245"/>
      <c r="S66" s="1245"/>
      <c r="T66" s="1246"/>
    </row>
    <row r="67" spans="2:20">
      <c r="B67" s="1244"/>
      <c r="C67" s="1245"/>
      <c r="D67" s="1245"/>
      <c r="E67" s="1245"/>
      <c r="F67" s="1245"/>
      <c r="G67" s="1245"/>
      <c r="H67" s="1245"/>
      <c r="I67" s="1245"/>
      <c r="J67" s="1245"/>
      <c r="K67" s="1245"/>
      <c r="L67" s="1245"/>
      <c r="M67" s="1245"/>
      <c r="N67" s="1245"/>
      <c r="O67" s="1245"/>
      <c r="P67" s="1245"/>
      <c r="Q67" s="1245"/>
      <c r="R67" s="1245"/>
      <c r="S67" s="1245"/>
      <c r="T67" s="1246"/>
    </row>
    <row r="68" spans="2:20">
      <c r="B68" s="1244"/>
      <c r="C68" s="1245"/>
      <c r="D68" s="1245"/>
      <c r="E68" s="1245"/>
      <c r="F68" s="1245"/>
      <c r="G68" s="1245"/>
      <c r="H68" s="1245"/>
      <c r="I68" s="1245"/>
      <c r="J68" s="1245"/>
      <c r="K68" s="1245"/>
      <c r="L68" s="1245"/>
      <c r="M68" s="1245"/>
      <c r="N68" s="1245"/>
      <c r="O68" s="1245"/>
      <c r="P68" s="1245"/>
      <c r="Q68" s="1245"/>
      <c r="R68" s="1245"/>
      <c r="S68" s="1245"/>
      <c r="T68" s="1246"/>
    </row>
    <row r="69" spans="2:20">
      <c r="B69" s="1244"/>
      <c r="C69" s="1245"/>
      <c r="D69" s="1245"/>
      <c r="E69" s="1245"/>
      <c r="F69" s="1245"/>
      <c r="G69" s="1245"/>
      <c r="H69" s="1245"/>
      <c r="I69" s="1245"/>
      <c r="J69" s="1245"/>
      <c r="K69" s="1245"/>
      <c r="L69" s="1245"/>
      <c r="M69" s="1245"/>
      <c r="N69" s="1245"/>
      <c r="O69" s="1245"/>
      <c r="P69" s="1245"/>
      <c r="Q69" s="1245"/>
      <c r="R69" s="1245"/>
      <c r="S69" s="1245"/>
      <c r="T69" s="1246"/>
    </row>
    <row r="70" spans="2:20">
      <c r="B70" s="1244"/>
      <c r="C70" s="1245"/>
      <c r="D70" s="1245"/>
      <c r="E70" s="1245"/>
      <c r="F70" s="1245"/>
      <c r="G70" s="1245"/>
      <c r="H70" s="1245"/>
      <c r="I70" s="1245"/>
      <c r="J70" s="1245"/>
      <c r="K70" s="1245"/>
      <c r="L70" s="1245"/>
      <c r="M70" s="1245"/>
      <c r="N70" s="1245"/>
      <c r="O70" s="1245"/>
      <c r="P70" s="1245"/>
      <c r="Q70" s="1245"/>
      <c r="R70" s="1245"/>
      <c r="S70" s="1245"/>
      <c r="T70" s="1246"/>
    </row>
    <row r="71" spans="2:20">
      <c r="B71" s="1244"/>
      <c r="C71" s="1245"/>
      <c r="D71" s="1245"/>
      <c r="E71" s="1245"/>
      <c r="F71" s="1245"/>
      <c r="G71" s="1245"/>
      <c r="H71" s="1245"/>
      <c r="I71" s="1245"/>
      <c r="J71" s="1245"/>
      <c r="K71" s="1245"/>
      <c r="L71" s="1245"/>
      <c r="M71" s="1245"/>
      <c r="N71" s="1245"/>
      <c r="O71" s="1245"/>
      <c r="P71" s="1245"/>
      <c r="Q71" s="1245"/>
      <c r="R71" s="1245"/>
      <c r="S71" s="1245"/>
      <c r="T71" s="1246"/>
    </row>
    <row r="72" spans="2:20" ht="15.75" thickBot="1">
      <c r="B72" s="1247"/>
      <c r="C72" s="1248"/>
      <c r="D72" s="1248"/>
      <c r="E72" s="1248"/>
      <c r="F72" s="1248"/>
      <c r="G72" s="1248"/>
      <c r="H72" s="1248"/>
      <c r="I72" s="1248"/>
      <c r="J72" s="1248"/>
      <c r="K72" s="1248"/>
      <c r="L72" s="1248"/>
      <c r="M72" s="1248"/>
      <c r="N72" s="1248"/>
      <c r="O72" s="1248"/>
      <c r="P72" s="1248"/>
      <c r="Q72" s="1248"/>
      <c r="R72" s="1248"/>
      <c r="S72" s="1248"/>
      <c r="T72" s="1249"/>
    </row>
    <row r="74" spans="2:20" ht="15.75" thickBot="1">
      <c r="B74" s="1233" t="s">
        <v>624</v>
      </c>
      <c r="C74" s="1234"/>
      <c r="D74" s="1234"/>
      <c r="E74" s="1234"/>
      <c r="F74" s="1234"/>
      <c r="G74" s="1234"/>
      <c r="H74" s="1234"/>
      <c r="I74" s="1234"/>
      <c r="J74" s="1234"/>
      <c r="K74" s="1234"/>
      <c r="L74" s="1234"/>
      <c r="M74" s="1234"/>
      <c r="N74" s="1234"/>
      <c r="O74" s="1234"/>
      <c r="P74" s="1234"/>
      <c r="Q74" s="1234"/>
      <c r="R74" s="1234"/>
      <c r="S74" s="1234"/>
      <c r="T74" s="1234"/>
    </row>
    <row r="75" spans="2:20">
      <c r="B75" s="1241"/>
      <c r="C75" s="1242"/>
      <c r="D75" s="1242"/>
      <c r="E75" s="1242"/>
      <c r="F75" s="1242"/>
      <c r="G75" s="1242"/>
      <c r="H75" s="1242"/>
      <c r="I75" s="1242"/>
      <c r="J75" s="1242"/>
      <c r="K75" s="1242"/>
      <c r="L75" s="1242"/>
      <c r="M75" s="1242"/>
      <c r="N75" s="1242"/>
      <c r="O75" s="1242"/>
      <c r="P75" s="1242"/>
      <c r="Q75" s="1242"/>
      <c r="R75" s="1242"/>
      <c r="S75" s="1242"/>
      <c r="T75" s="1243"/>
    </row>
    <row r="76" spans="2:20">
      <c r="B76" s="1244"/>
      <c r="C76" s="1245"/>
      <c r="D76" s="1245"/>
      <c r="E76" s="1245"/>
      <c r="F76" s="1245"/>
      <c r="G76" s="1245"/>
      <c r="H76" s="1245"/>
      <c r="I76" s="1245"/>
      <c r="J76" s="1245"/>
      <c r="K76" s="1245"/>
      <c r="L76" s="1245"/>
      <c r="M76" s="1245"/>
      <c r="N76" s="1245"/>
      <c r="O76" s="1245"/>
      <c r="P76" s="1245"/>
      <c r="Q76" s="1245"/>
      <c r="R76" s="1245"/>
      <c r="S76" s="1245"/>
      <c r="T76" s="1246"/>
    </row>
    <row r="77" spans="2:20">
      <c r="B77" s="1244"/>
      <c r="C77" s="1245"/>
      <c r="D77" s="1245"/>
      <c r="E77" s="1245"/>
      <c r="F77" s="1245"/>
      <c r="G77" s="1245"/>
      <c r="H77" s="1245"/>
      <c r="I77" s="1245"/>
      <c r="J77" s="1245"/>
      <c r="K77" s="1245"/>
      <c r="L77" s="1245"/>
      <c r="M77" s="1245"/>
      <c r="N77" s="1245"/>
      <c r="O77" s="1245"/>
      <c r="P77" s="1245"/>
      <c r="Q77" s="1245"/>
      <c r="R77" s="1245"/>
      <c r="S77" s="1245"/>
      <c r="T77" s="1246"/>
    </row>
    <row r="78" spans="2:20">
      <c r="B78" s="1244"/>
      <c r="C78" s="1245"/>
      <c r="D78" s="1245"/>
      <c r="E78" s="1245"/>
      <c r="F78" s="1245"/>
      <c r="G78" s="1245"/>
      <c r="H78" s="1245"/>
      <c r="I78" s="1245"/>
      <c r="J78" s="1245"/>
      <c r="K78" s="1245"/>
      <c r="L78" s="1245"/>
      <c r="M78" s="1245"/>
      <c r="N78" s="1245"/>
      <c r="O78" s="1245"/>
      <c r="P78" s="1245"/>
      <c r="Q78" s="1245"/>
      <c r="R78" s="1245"/>
      <c r="S78" s="1245"/>
      <c r="T78" s="1246"/>
    </row>
    <row r="79" spans="2:20">
      <c r="B79" s="1244"/>
      <c r="C79" s="1245"/>
      <c r="D79" s="1245"/>
      <c r="E79" s="1245"/>
      <c r="F79" s="1245"/>
      <c r="G79" s="1245"/>
      <c r="H79" s="1245"/>
      <c r="I79" s="1245"/>
      <c r="J79" s="1245"/>
      <c r="K79" s="1245"/>
      <c r="L79" s="1245"/>
      <c r="M79" s="1245"/>
      <c r="N79" s="1245"/>
      <c r="O79" s="1245"/>
      <c r="P79" s="1245"/>
      <c r="Q79" s="1245"/>
      <c r="R79" s="1245"/>
      <c r="S79" s="1245"/>
      <c r="T79" s="1246"/>
    </row>
    <row r="80" spans="2:20">
      <c r="B80" s="1244"/>
      <c r="C80" s="1245"/>
      <c r="D80" s="1245"/>
      <c r="E80" s="1245"/>
      <c r="F80" s="1245"/>
      <c r="G80" s="1245"/>
      <c r="H80" s="1245"/>
      <c r="I80" s="1245"/>
      <c r="J80" s="1245"/>
      <c r="K80" s="1245"/>
      <c r="L80" s="1245"/>
      <c r="M80" s="1245"/>
      <c r="N80" s="1245"/>
      <c r="O80" s="1245"/>
      <c r="P80" s="1245"/>
      <c r="Q80" s="1245"/>
      <c r="R80" s="1245"/>
      <c r="S80" s="1245"/>
      <c r="T80" s="1246"/>
    </row>
    <row r="81" spans="2:20">
      <c r="B81" s="1244"/>
      <c r="C81" s="1245"/>
      <c r="D81" s="1245"/>
      <c r="E81" s="1245"/>
      <c r="F81" s="1245"/>
      <c r="G81" s="1245"/>
      <c r="H81" s="1245"/>
      <c r="I81" s="1245"/>
      <c r="J81" s="1245"/>
      <c r="K81" s="1245"/>
      <c r="L81" s="1245"/>
      <c r="M81" s="1245"/>
      <c r="N81" s="1245"/>
      <c r="O81" s="1245"/>
      <c r="P81" s="1245"/>
      <c r="Q81" s="1245"/>
      <c r="R81" s="1245"/>
      <c r="S81" s="1245"/>
      <c r="T81" s="1246"/>
    </row>
    <row r="82" spans="2:20">
      <c r="B82" s="1244"/>
      <c r="C82" s="1245"/>
      <c r="D82" s="1245"/>
      <c r="E82" s="1245"/>
      <c r="F82" s="1245"/>
      <c r="G82" s="1245"/>
      <c r="H82" s="1245"/>
      <c r="I82" s="1245"/>
      <c r="J82" s="1245"/>
      <c r="K82" s="1245"/>
      <c r="L82" s="1245"/>
      <c r="M82" s="1245"/>
      <c r="N82" s="1245"/>
      <c r="O82" s="1245"/>
      <c r="P82" s="1245"/>
      <c r="Q82" s="1245"/>
      <c r="R82" s="1245"/>
      <c r="S82" s="1245"/>
      <c r="T82" s="1246"/>
    </row>
    <row r="83" spans="2:20">
      <c r="B83" s="1244"/>
      <c r="C83" s="1245"/>
      <c r="D83" s="1245"/>
      <c r="E83" s="1245"/>
      <c r="F83" s="1245"/>
      <c r="G83" s="1245"/>
      <c r="H83" s="1245"/>
      <c r="I83" s="1245"/>
      <c r="J83" s="1245"/>
      <c r="K83" s="1245"/>
      <c r="L83" s="1245"/>
      <c r="M83" s="1245"/>
      <c r="N83" s="1245"/>
      <c r="O83" s="1245"/>
      <c r="P83" s="1245"/>
      <c r="Q83" s="1245"/>
      <c r="R83" s="1245"/>
      <c r="S83" s="1245"/>
      <c r="T83" s="1246"/>
    </row>
    <row r="84" spans="2:20">
      <c r="B84" s="1244"/>
      <c r="C84" s="1245"/>
      <c r="D84" s="1245"/>
      <c r="E84" s="1245"/>
      <c r="F84" s="1245"/>
      <c r="G84" s="1245"/>
      <c r="H84" s="1245"/>
      <c r="I84" s="1245"/>
      <c r="J84" s="1245"/>
      <c r="K84" s="1245"/>
      <c r="L84" s="1245"/>
      <c r="M84" s="1245"/>
      <c r="N84" s="1245"/>
      <c r="O84" s="1245"/>
      <c r="P84" s="1245"/>
      <c r="Q84" s="1245"/>
      <c r="R84" s="1245"/>
      <c r="S84" s="1245"/>
      <c r="T84" s="1246"/>
    </row>
    <row r="85" spans="2:20">
      <c r="B85" s="1244"/>
      <c r="C85" s="1245"/>
      <c r="D85" s="1245"/>
      <c r="E85" s="1245"/>
      <c r="F85" s="1245"/>
      <c r="G85" s="1245"/>
      <c r="H85" s="1245"/>
      <c r="I85" s="1245"/>
      <c r="J85" s="1245"/>
      <c r="K85" s="1245"/>
      <c r="L85" s="1245"/>
      <c r="M85" s="1245"/>
      <c r="N85" s="1245"/>
      <c r="O85" s="1245"/>
      <c r="P85" s="1245"/>
      <c r="Q85" s="1245"/>
      <c r="R85" s="1245"/>
      <c r="S85" s="1245"/>
      <c r="T85" s="1246"/>
    </row>
    <row r="86" spans="2:20">
      <c r="B86" s="1244"/>
      <c r="C86" s="1245"/>
      <c r="D86" s="1245"/>
      <c r="E86" s="1245"/>
      <c r="F86" s="1245"/>
      <c r="G86" s="1245"/>
      <c r="H86" s="1245"/>
      <c r="I86" s="1245"/>
      <c r="J86" s="1245"/>
      <c r="K86" s="1245"/>
      <c r="L86" s="1245"/>
      <c r="M86" s="1245"/>
      <c r="N86" s="1245"/>
      <c r="O86" s="1245"/>
      <c r="P86" s="1245"/>
      <c r="Q86" s="1245"/>
      <c r="R86" s="1245"/>
      <c r="S86" s="1245"/>
      <c r="T86" s="1246"/>
    </row>
    <row r="87" spans="2:20">
      <c r="B87" s="1244"/>
      <c r="C87" s="1245"/>
      <c r="D87" s="1245"/>
      <c r="E87" s="1245"/>
      <c r="F87" s="1245"/>
      <c r="G87" s="1245"/>
      <c r="H87" s="1245"/>
      <c r="I87" s="1245"/>
      <c r="J87" s="1245"/>
      <c r="K87" s="1245"/>
      <c r="L87" s="1245"/>
      <c r="M87" s="1245"/>
      <c r="N87" s="1245"/>
      <c r="O87" s="1245"/>
      <c r="P87" s="1245"/>
      <c r="Q87" s="1245"/>
      <c r="R87" s="1245"/>
      <c r="S87" s="1245"/>
      <c r="T87" s="1246"/>
    </row>
    <row r="88" spans="2:20">
      <c r="B88" s="1244"/>
      <c r="C88" s="1245"/>
      <c r="D88" s="1245"/>
      <c r="E88" s="1245"/>
      <c r="F88" s="1245"/>
      <c r="G88" s="1245"/>
      <c r="H88" s="1245"/>
      <c r="I88" s="1245"/>
      <c r="J88" s="1245"/>
      <c r="K88" s="1245"/>
      <c r="L88" s="1245"/>
      <c r="M88" s="1245"/>
      <c r="N88" s="1245"/>
      <c r="O88" s="1245"/>
      <c r="P88" s="1245"/>
      <c r="Q88" s="1245"/>
      <c r="R88" s="1245"/>
      <c r="S88" s="1245"/>
      <c r="T88" s="1246"/>
    </row>
    <row r="89" spans="2:20">
      <c r="B89" s="1244"/>
      <c r="C89" s="1245"/>
      <c r="D89" s="1245"/>
      <c r="E89" s="1245"/>
      <c r="F89" s="1245"/>
      <c r="G89" s="1245"/>
      <c r="H89" s="1245"/>
      <c r="I89" s="1245"/>
      <c r="J89" s="1245"/>
      <c r="K89" s="1245"/>
      <c r="L89" s="1245"/>
      <c r="M89" s="1245"/>
      <c r="N89" s="1245"/>
      <c r="O89" s="1245"/>
      <c r="P89" s="1245"/>
      <c r="Q89" s="1245"/>
      <c r="R89" s="1245"/>
      <c r="S89" s="1245"/>
      <c r="T89" s="1246"/>
    </row>
    <row r="90" spans="2:20" ht="15.75" thickBot="1">
      <c r="B90" s="1247"/>
      <c r="C90" s="1248"/>
      <c r="D90" s="1248"/>
      <c r="E90" s="1248"/>
      <c r="F90" s="1248"/>
      <c r="G90" s="1248"/>
      <c r="H90" s="1248"/>
      <c r="I90" s="1248"/>
      <c r="J90" s="1248"/>
      <c r="K90" s="1248"/>
      <c r="L90" s="1248"/>
      <c r="M90" s="1248"/>
      <c r="N90" s="1248"/>
      <c r="O90" s="1248"/>
      <c r="P90" s="1248"/>
      <c r="Q90" s="1248"/>
      <c r="R90" s="1248"/>
      <c r="S90" s="1248"/>
      <c r="T90" s="1249"/>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E7717-436A-4771-B8D1-E27DAC493ECF}">
  <sheetPr codeName="Sheet30">
    <tabColor rgb="FF002060"/>
  </sheetPr>
  <dimension ref="A1:AT40"/>
  <sheetViews>
    <sheetView topLeftCell="A10" zoomScale="85" zoomScaleNormal="85" workbookViewId="0">
      <selection activeCell="E9" sqref="E9"/>
    </sheetView>
  </sheetViews>
  <sheetFormatPr defaultColWidth="9.140625" defaultRowHeight="12"/>
  <cols>
    <col min="1" max="1" width="1.7109375" style="103" customWidth="1"/>
    <col min="2" max="2" width="15.140625" style="103" bestFit="1" customWidth="1"/>
    <col min="3" max="3" width="12.7109375" style="103" bestFit="1" customWidth="1"/>
    <col min="4" max="4" width="20" style="103" bestFit="1" customWidth="1"/>
    <col min="5" max="5" width="12.5703125" style="103" bestFit="1" customWidth="1"/>
    <col min="6" max="6" width="11.85546875" style="103" bestFit="1" customWidth="1"/>
    <col min="7" max="7" width="12.28515625" style="103" bestFit="1" customWidth="1"/>
    <col min="8" max="11" width="12.5703125" style="103" bestFit="1" customWidth="1"/>
    <col min="12" max="12" width="11.85546875" style="103" bestFit="1" customWidth="1"/>
    <col min="13" max="13" width="12.28515625" style="103" bestFit="1" customWidth="1"/>
    <col min="14" max="16" width="12.5703125" style="103" bestFit="1" customWidth="1"/>
    <col min="17" max="17" width="8.140625" style="103" bestFit="1" customWidth="1"/>
    <col min="18" max="28" width="9.7109375" style="103" bestFit="1" customWidth="1"/>
    <col min="29" max="29" width="11.7109375" style="103" bestFit="1" customWidth="1"/>
    <col min="30" max="30" width="20.28515625" style="103" bestFit="1" customWidth="1"/>
    <col min="31" max="31" width="12.28515625" style="103" bestFit="1" customWidth="1"/>
    <col min="32" max="32" width="20.28515625" style="103" bestFit="1" customWidth="1"/>
    <col min="33" max="33" width="12.28515625" style="103" bestFit="1" customWidth="1"/>
    <col min="34" max="34" width="20.28515625" style="103" bestFit="1" customWidth="1"/>
    <col min="35" max="35" width="12.28515625" style="103" customWidth="1"/>
    <col min="36" max="36" width="20.28515625" style="103" bestFit="1" customWidth="1"/>
    <col min="37" max="37" width="12.28515625" style="103" bestFit="1" customWidth="1"/>
    <col min="38" max="38" width="20.28515625" style="103" bestFit="1" customWidth="1"/>
    <col min="39" max="39" width="7.5703125" style="103" bestFit="1" customWidth="1"/>
    <col min="40" max="40" width="20.28515625" style="103" bestFit="1" customWidth="1"/>
    <col min="41" max="41" width="7.5703125" style="103" bestFit="1" customWidth="1"/>
    <col min="42" max="42" width="20.28515625" style="103" bestFit="1" customWidth="1"/>
    <col min="43" max="43" width="7.5703125" style="103" bestFit="1" customWidth="1"/>
    <col min="44" max="44" width="20.28515625" style="103" bestFit="1" customWidth="1"/>
    <col min="45" max="45" width="8.42578125" style="103" bestFit="1" customWidth="1"/>
    <col min="46" max="46" width="23.28515625" style="103" bestFit="1" customWidth="1"/>
    <col min="47" max="16384" width="9.140625" style="103"/>
  </cols>
  <sheetData>
    <row r="1" spans="1:46" s="1131" customFormat="1" ht="12.75">
      <c r="A1" s="1131" t="s">
        <v>427</v>
      </c>
    </row>
    <row r="2" spans="1:46" ht="12.75" thickBot="1"/>
    <row r="3" spans="1:46" ht="15.75" customHeight="1" thickBot="1">
      <c r="A3" s="102"/>
      <c r="B3" s="1135" t="s">
        <v>56</v>
      </c>
      <c r="C3" s="1136"/>
      <c r="D3" s="1136"/>
      <c r="E3" s="1136"/>
      <c r="F3" s="1136"/>
      <c r="G3" s="1136"/>
      <c r="H3" s="1136"/>
      <c r="I3" s="1136"/>
      <c r="J3" s="1136"/>
      <c r="K3" s="1136"/>
      <c r="L3" s="1136"/>
      <c r="M3" s="1136"/>
      <c r="N3" s="1136"/>
      <c r="O3" s="1136"/>
      <c r="P3" s="1136"/>
      <c r="Q3" s="1136"/>
      <c r="R3" s="1136"/>
      <c r="S3" s="1136"/>
      <c r="T3" s="1136"/>
      <c r="U3" s="1136"/>
      <c r="V3" s="1136"/>
      <c r="W3" s="1136"/>
      <c r="X3" s="1136"/>
      <c r="Y3" s="1136"/>
      <c r="Z3" s="1136"/>
      <c r="AA3" s="1136"/>
      <c r="AB3" s="1136"/>
      <c r="AC3" s="1136"/>
      <c r="AD3" s="1136"/>
      <c r="AE3" s="1136"/>
      <c r="AF3" s="1136"/>
      <c r="AG3" s="1136"/>
      <c r="AH3" s="1136"/>
      <c r="AI3" s="1136"/>
      <c r="AJ3" s="1136"/>
      <c r="AK3" s="1136"/>
      <c r="AL3" s="1136"/>
      <c r="AM3" s="1136"/>
      <c r="AN3" s="1136"/>
      <c r="AO3" s="1136"/>
      <c r="AP3" s="1136"/>
      <c r="AQ3" s="1136"/>
      <c r="AR3" s="1136"/>
      <c r="AS3" s="1136"/>
      <c r="AT3" s="1137"/>
    </row>
    <row r="4" spans="1:46" ht="12.75" thickBot="1">
      <c r="B4" s="124" t="s">
        <v>212</v>
      </c>
      <c r="C4" s="125"/>
      <c r="D4" s="125"/>
      <c r="E4" s="126"/>
      <c r="F4" s="126"/>
      <c r="G4" s="126"/>
      <c r="H4" s="126"/>
      <c r="I4" s="126"/>
      <c r="J4" s="126"/>
      <c r="K4" s="127"/>
      <c r="L4" s="126"/>
      <c r="M4" s="126"/>
      <c r="N4" s="126"/>
      <c r="O4" s="126"/>
      <c r="P4" s="126"/>
      <c r="Q4" s="131"/>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8"/>
    </row>
    <row r="5" spans="1:46" s="544" customFormat="1" ht="12.75" thickBot="1">
      <c r="B5" s="545"/>
      <c r="C5" s="546"/>
      <c r="D5" s="546"/>
      <c r="E5" s="1144" t="s">
        <v>112</v>
      </c>
      <c r="F5" s="1144"/>
      <c r="G5" s="1144"/>
      <c r="H5" s="1144"/>
      <c r="I5" s="1144"/>
      <c r="J5" s="1144"/>
      <c r="K5" s="1144"/>
      <c r="L5" s="1144"/>
      <c r="M5" s="1144"/>
      <c r="N5" s="1144"/>
      <c r="O5" s="1144"/>
      <c r="P5" s="1144"/>
      <c r="Q5" s="547">
        <v>1</v>
      </c>
      <c r="R5" s="1145" t="s">
        <v>113</v>
      </c>
      <c r="S5" s="1146"/>
      <c r="T5" s="1146"/>
      <c r="U5" s="1146"/>
      <c r="V5" s="1146"/>
      <c r="W5" s="1146"/>
      <c r="X5" s="1146"/>
      <c r="Y5" s="1146"/>
      <c r="Z5" s="1146"/>
      <c r="AA5" s="1146"/>
      <c r="AB5" s="1146"/>
      <c r="AC5" s="1147"/>
      <c r="AD5" s="546"/>
      <c r="AE5" s="546">
        <v>2</v>
      </c>
      <c r="AF5" s="546"/>
      <c r="AG5" s="546">
        <v>3</v>
      </c>
      <c r="AH5" s="546"/>
      <c r="AI5" s="546">
        <v>4</v>
      </c>
      <c r="AJ5" s="546"/>
      <c r="AK5" s="546">
        <v>5</v>
      </c>
      <c r="AL5" s="546"/>
      <c r="AM5" s="546">
        <v>6</v>
      </c>
      <c r="AN5" s="546"/>
      <c r="AO5" s="546">
        <v>7</v>
      </c>
      <c r="AP5" s="546"/>
      <c r="AQ5" s="546">
        <v>8</v>
      </c>
      <c r="AR5" s="546"/>
      <c r="AS5" s="546">
        <v>9</v>
      </c>
      <c r="AT5" s="548"/>
    </row>
    <row r="6" spans="1:46" ht="12.75" thickBot="1">
      <c r="B6" s="112" t="s">
        <v>213</v>
      </c>
      <c r="C6" s="129" t="s">
        <v>12</v>
      </c>
      <c r="D6" s="144" t="s">
        <v>214</v>
      </c>
      <c r="E6" s="526" t="s">
        <v>134</v>
      </c>
      <c r="F6" s="526" t="s">
        <v>135</v>
      </c>
      <c r="G6" s="526" t="s">
        <v>136</v>
      </c>
      <c r="H6" s="526" t="s">
        <v>137</v>
      </c>
      <c r="I6" s="526" t="s">
        <v>138</v>
      </c>
      <c r="J6" s="526" t="s">
        <v>139</v>
      </c>
      <c r="K6" s="526" t="s">
        <v>140</v>
      </c>
      <c r="L6" s="526" t="s">
        <v>141</v>
      </c>
      <c r="M6" s="526" t="s">
        <v>142</v>
      </c>
      <c r="N6" s="526" t="s">
        <v>143</v>
      </c>
      <c r="O6" s="526" t="s">
        <v>144</v>
      </c>
      <c r="P6" s="526" t="s">
        <v>145</v>
      </c>
      <c r="Q6" s="524" t="s">
        <v>215</v>
      </c>
      <c r="R6" s="526" t="s">
        <v>134</v>
      </c>
      <c r="S6" s="526" t="s">
        <v>135</v>
      </c>
      <c r="T6" s="526" t="s">
        <v>136</v>
      </c>
      <c r="U6" s="526" t="s">
        <v>137</v>
      </c>
      <c r="V6" s="526" t="s">
        <v>138</v>
      </c>
      <c r="W6" s="526" t="s">
        <v>139</v>
      </c>
      <c r="X6" s="526" t="s">
        <v>140</v>
      </c>
      <c r="Y6" s="526" t="s">
        <v>141</v>
      </c>
      <c r="Z6" s="526" t="s">
        <v>142</v>
      </c>
      <c r="AA6" s="526" t="s">
        <v>143</v>
      </c>
      <c r="AB6" s="526" t="s">
        <v>144</v>
      </c>
      <c r="AC6" s="531" t="s">
        <v>145</v>
      </c>
      <c r="AD6" s="532" t="s">
        <v>216</v>
      </c>
      <c r="AE6" s="526" t="s">
        <v>217</v>
      </c>
      <c r="AF6" s="532" t="s">
        <v>218</v>
      </c>
      <c r="AG6" s="526" t="s">
        <v>219</v>
      </c>
      <c r="AH6" s="532" t="s">
        <v>220</v>
      </c>
      <c r="AI6" s="526" t="s">
        <v>16</v>
      </c>
      <c r="AJ6" s="532" t="s">
        <v>221</v>
      </c>
      <c r="AK6" s="526" t="s">
        <v>17</v>
      </c>
      <c r="AL6" s="532" t="s">
        <v>222</v>
      </c>
      <c r="AM6" s="526" t="s">
        <v>18</v>
      </c>
      <c r="AN6" s="532" t="s">
        <v>223</v>
      </c>
      <c r="AO6" s="526" t="s">
        <v>21</v>
      </c>
      <c r="AP6" s="532" t="s">
        <v>224</v>
      </c>
      <c r="AQ6" s="526" t="s">
        <v>22</v>
      </c>
      <c r="AR6" s="543" t="s">
        <v>225</v>
      </c>
      <c r="AS6" s="526" t="s">
        <v>23</v>
      </c>
      <c r="AT6" s="532" t="s">
        <v>226</v>
      </c>
    </row>
    <row r="7" spans="1:46" ht="12.75" thickBot="1">
      <c r="B7" s="122" t="s">
        <v>227</v>
      </c>
      <c r="C7" s="130">
        <f>P14</f>
        <v>0</v>
      </c>
      <c r="D7" s="516">
        <f>SUM(E7:P7)</f>
        <v>0</v>
      </c>
      <c r="E7" s="137">
        <f>'Production Assumptions'!$C$31*D14</f>
        <v>0</v>
      </c>
      <c r="F7" s="138">
        <f>'Production Assumptions'!$C$31*E14</f>
        <v>0</v>
      </c>
      <c r="G7" s="138">
        <f>'Production Assumptions'!$C$31*F14</f>
        <v>0</v>
      </c>
      <c r="H7" s="138">
        <f>'Production Assumptions'!$C$31*G14</f>
        <v>0</v>
      </c>
      <c r="I7" s="138">
        <f>'Production Assumptions'!$C$31*H14</f>
        <v>0</v>
      </c>
      <c r="J7" s="138">
        <f>'Production Assumptions'!$C$31*I14</f>
        <v>0</v>
      </c>
      <c r="K7" s="138">
        <f>'Production Assumptions'!$C$31*J14</f>
        <v>0</v>
      </c>
      <c r="L7" s="138">
        <f>'Production Assumptions'!$C$31*K14</f>
        <v>0</v>
      </c>
      <c r="M7" s="138">
        <f>'Production Assumptions'!$C$31*L14</f>
        <v>0</v>
      </c>
      <c r="N7" s="138">
        <f>'Production Assumptions'!$C$31*M14</f>
        <v>0</v>
      </c>
      <c r="O7" s="138">
        <f>'Production Assumptions'!$C$31*N14</f>
        <v>0</v>
      </c>
      <c r="P7" s="139">
        <f>'Production Assumptions'!$C$31*O14</f>
        <v>0</v>
      </c>
      <c r="Q7" s="110">
        <f>Q14</f>
        <v>0</v>
      </c>
      <c r="R7" s="137">
        <f>'Production Assumptions'!$C$31*(1+'Production Assumptions'!C4)*R14</f>
        <v>0</v>
      </c>
      <c r="S7" s="138">
        <f>'Production Assumptions'!$C$31*(1+'Production Assumptions'!$C$4)*S14</f>
        <v>0</v>
      </c>
      <c r="T7" s="138">
        <f>'Production Assumptions'!$C$31*(1+'Production Assumptions'!$C$4)*T14</f>
        <v>0</v>
      </c>
      <c r="U7" s="138">
        <f>'Production Assumptions'!$C$31*(1+'Production Assumptions'!$C$4)*U14</f>
        <v>0</v>
      </c>
      <c r="V7" s="138">
        <f>'Production Assumptions'!$C$31*(1+'Production Assumptions'!$C$4)*V14</f>
        <v>0</v>
      </c>
      <c r="W7" s="138">
        <f>'Production Assumptions'!$C$31*(1+'Production Assumptions'!$C$4)*W14</f>
        <v>0</v>
      </c>
      <c r="X7" s="138">
        <f>'Production Assumptions'!$C$31*(1+'Production Assumptions'!$C$4)*X14</f>
        <v>0</v>
      </c>
      <c r="Y7" s="138">
        <f>'Production Assumptions'!$C$31*(1+'Production Assumptions'!$C$4)*Y14</f>
        <v>0</v>
      </c>
      <c r="Z7" s="138">
        <f>'Production Assumptions'!$C$31*(1+'Production Assumptions'!$C$4)*Z14</f>
        <v>0</v>
      </c>
      <c r="AA7" s="138">
        <f>'Production Assumptions'!$C$31*(1+'Production Assumptions'!$C$4)*AA14</f>
        <v>0</v>
      </c>
      <c r="AB7" s="138">
        <f>'Production Assumptions'!$C$31*(1+'Production Assumptions'!$C$4)*AB14</f>
        <v>0</v>
      </c>
      <c r="AC7" s="138">
        <f>'Production Assumptions'!$C$31*(1+'Production Assumptions'!$C$4)*AC14</f>
        <v>0</v>
      </c>
      <c r="AD7" s="533">
        <f>SUM(R7:AC7)</f>
        <v>0</v>
      </c>
      <c r="AE7" s="537">
        <f>AD14</f>
        <v>0</v>
      </c>
      <c r="AF7" s="533">
        <f>$AD7*(1+'Production Assumptions'!$C$4)</f>
        <v>0</v>
      </c>
      <c r="AG7" s="537">
        <f>AE14</f>
        <v>0</v>
      </c>
      <c r="AH7" s="533">
        <f>$AD7*(1+'Production Assumptions'!$C$4)^2</f>
        <v>0</v>
      </c>
      <c r="AI7" s="537">
        <f>AF14</f>
        <v>0</v>
      </c>
      <c r="AJ7" s="533">
        <f>$AD7*(1+'Production Assumptions'!$C$4)^3</f>
        <v>0</v>
      </c>
      <c r="AK7" s="537">
        <f>AG14</f>
        <v>0</v>
      </c>
      <c r="AL7" s="533">
        <f>$AD7*(1+'Production Assumptions'!$C$4)^4</f>
        <v>0</v>
      </c>
      <c r="AM7" s="537">
        <f>AH14</f>
        <v>0</v>
      </c>
      <c r="AN7" s="533">
        <f>$AD7*(1+'Production Assumptions'!$C$4)^5</f>
        <v>0</v>
      </c>
      <c r="AO7" s="537">
        <f>AI14</f>
        <v>0</v>
      </c>
      <c r="AP7" s="533">
        <f>$AD7*(1+'Production Assumptions'!$C$4)^6</f>
        <v>0</v>
      </c>
      <c r="AQ7" s="537">
        <f>AJ14</f>
        <v>0</v>
      </c>
      <c r="AR7" s="540">
        <f>$AD7*(1+'Production Assumptions'!$C$4)^7</f>
        <v>0</v>
      </c>
      <c r="AS7" s="537">
        <f>AK14</f>
        <v>0</v>
      </c>
      <c r="AT7" s="533">
        <f>$AD7*(1+'Production Assumptions'!$C$4)^8</f>
        <v>0</v>
      </c>
    </row>
    <row r="8" spans="1:46" ht="12.75" thickBot="1">
      <c r="B8" s="122" t="s">
        <v>228</v>
      </c>
      <c r="C8" s="130" t="e">
        <f>P15</f>
        <v>#VALUE!</v>
      </c>
      <c r="D8" s="143" t="e">
        <f>SUM(E8:P8)</f>
        <v>#VALUE!</v>
      </c>
      <c r="E8" s="140" t="e">
        <f>'Production Assumptions'!$C$32*D15</f>
        <v>#VALUE!</v>
      </c>
      <c r="F8" s="107" t="e">
        <f>'Production Assumptions'!$C$32*E15</f>
        <v>#VALUE!</v>
      </c>
      <c r="G8" s="107" t="e">
        <f>'Production Assumptions'!$C$32*F15</f>
        <v>#VALUE!</v>
      </c>
      <c r="H8" s="107" t="e">
        <f>'Production Assumptions'!$C$32*G15</f>
        <v>#VALUE!</v>
      </c>
      <c r="I8" s="107" t="e">
        <f>'Production Assumptions'!$C$32*H15</f>
        <v>#VALUE!</v>
      </c>
      <c r="J8" s="107" t="e">
        <f>'Production Assumptions'!$C$32*I15</f>
        <v>#VALUE!</v>
      </c>
      <c r="K8" s="107" t="e">
        <f>'Production Assumptions'!$C$32*J15</f>
        <v>#VALUE!</v>
      </c>
      <c r="L8" s="107" t="e">
        <f>'Production Assumptions'!$C$32*K15</f>
        <v>#VALUE!</v>
      </c>
      <c r="M8" s="107" t="e">
        <f>'Production Assumptions'!$C$32*L15</f>
        <v>#VALUE!</v>
      </c>
      <c r="N8" s="107" t="e">
        <f>'Production Assumptions'!$C$32*M15</f>
        <v>#VALUE!</v>
      </c>
      <c r="O8" s="107" t="e">
        <f>'Production Assumptions'!$C$32*N15</f>
        <v>#VALUE!</v>
      </c>
      <c r="P8" s="109" t="e">
        <f>'Production Assumptions'!$C$32*O15</f>
        <v>#VALUE!</v>
      </c>
      <c r="Q8" s="110" t="e">
        <f>Q15</f>
        <v>#VALUE!</v>
      </c>
      <c r="R8" s="140" t="e">
        <f>'Production Assumptions'!$C$32*(1+'Production Assumptions'!$C$4)*R15</f>
        <v>#VALUE!</v>
      </c>
      <c r="S8" s="107" t="e">
        <f>'Production Assumptions'!$C$32*(1+'Production Assumptions'!$C$4)*S15</f>
        <v>#VALUE!</v>
      </c>
      <c r="T8" s="107" t="e">
        <f>'Production Assumptions'!$C$32*(1+'Production Assumptions'!$C$4)*T15</f>
        <v>#VALUE!</v>
      </c>
      <c r="U8" s="107" t="e">
        <f>'Production Assumptions'!$C$32*(1+'Production Assumptions'!$C$4)*U15</f>
        <v>#VALUE!</v>
      </c>
      <c r="V8" s="107" t="e">
        <f>'Production Assumptions'!$C$32*(1+'Production Assumptions'!$C$4)*V15</f>
        <v>#VALUE!</v>
      </c>
      <c r="W8" s="107" t="e">
        <f>'Production Assumptions'!$C$32*(1+'Production Assumptions'!$C$4)*W15</f>
        <v>#VALUE!</v>
      </c>
      <c r="X8" s="107" t="e">
        <f>'Production Assumptions'!$C$32*(1+'Production Assumptions'!$C$4)*X15</f>
        <v>#VALUE!</v>
      </c>
      <c r="Y8" s="107" t="e">
        <f>'Production Assumptions'!$C$32*(1+'Production Assumptions'!$C$4)*Y15</f>
        <v>#VALUE!</v>
      </c>
      <c r="Z8" s="107" t="e">
        <f>'Production Assumptions'!$C$32*(1+'Production Assumptions'!$C$4)*Z15</f>
        <v>#VALUE!</v>
      </c>
      <c r="AA8" s="107" t="e">
        <f>'Production Assumptions'!$C$32*(1+'Production Assumptions'!$C$4)*AA15</f>
        <v>#VALUE!</v>
      </c>
      <c r="AB8" s="107" t="e">
        <f>'Production Assumptions'!$C$32*(1+'Production Assumptions'!$C$4)*AB15</f>
        <v>#VALUE!</v>
      </c>
      <c r="AC8" s="107" t="e">
        <f>'Production Assumptions'!$C$32*(1+'Production Assumptions'!$C$4)*AC15</f>
        <v>#VALUE!</v>
      </c>
      <c r="AD8" s="534" t="e">
        <f>SUM(R8:AC8)</f>
        <v>#VALUE!</v>
      </c>
      <c r="AE8" s="108" t="e">
        <f>AD15</f>
        <v>#VALUE!</v>
      </c>
      <c r="AF8" s="534" t="e">
        <f>$AD8*(1+'Production Assumptions'!$C$4)</f>
        <v>#VALUE!</v>
      </c>
      <c r="AG8" s="108" t="e">
        <f>AE15</f>
        <v>#VALUE!</v>
      </c>
      <c r="AH8" s="534" t="e">
        <f>$AD8*(1+'Production Assumptions'!$C$4)^2</f>
        <v>#VALUE!</v>
      </c>
      <c r="AI8" s="108" t="e">
        <f>AF15</f>
        <v>#VALUE!</v>
      </c>
      <c r="AJ8" s="534" t="e">
        <f>$AD8*(1+'Production Assumptions'!$C$4)^3</f>
        <v>#VALUE!</v>
      </c>
      <c r="AK8" s="108" t="e">
        <f>AG15</f>
        <v>#VALUE!</v>
      </c>
      <c r="AL8" s="534" t="e">
        <f>$AD8*(1+'Production Assumptions'!$C$4)^4</f>
        <v>#VALUE!</v>
      </c>
      <c r="AM8" s="108" t="e">
        <f>AH15</f>
        <v>#VALUE!</v>
      </c>
      <c r="AN8" s="534" t="e">
        <f>$AD8*(1+'Production Assumptions'!$C$4)^5</f>
        <v>#VALUE!</v>
      </c>
      <c r="AO8" s="108" t="e">
        <f>AI15</f>
        <v>#VALUE!</v>
      </c>
      <c r="AP8" s="534" t="e">
        <f>$AD8*(1+'Production Assumptions'!$C$4)^6</f>
        <v>#VALUE!</v>
      </c>
      <c r="AQ8" s="108" t="e">
        <f>AJ15</f>
        <v>#VALUE!</v>
      </c>
      <c r="AR8" s="541" t="e">
        <f>$AD8*(1+'Production Assumptions'!$C$4)^7</f>
        <v>#VALUE!</v>
      </c>
      <c r="AS8" s="108" t="e">
        <f>AK15</f>
        <v>#VALUE!</v>
      </c>
      <c r="AT8" s="534" t="e">
        <f>$AD8*(1+'Production Assumptions'!$C$4)^8</f>
        <v>#VALUE!</v>
      </c>
    </row>
    <row r="9" spans="1:46" ht="12.75" thickBot="1">
      <c r="B9" s="122" t="s">
        <v>229</v>
      </c>
      <c r="C9" s="130">
        <f>P16</f>
        <v>1</v>
      </c>
      <c r="D9" s="517">
        <f>SUM(E9:P9)</f>
        <v>60000</v>
      </c>
      <c r="E9" s="141">
        <f>'Production Assumptions'!$C$33*D16</f>
        <v>5000</v>
      </c>
      <c r="F9" s="132">
        <f>'Production Assumptions'!$C$33*E16</f>
        <v>5000</v>
      </c>
      <c r="G9" s="132">
        <f>'Production Assumptions'!$C$33*F16</f>
        <v>5000</v>
      </c>
      <c r="H9" s="132">
        <f>'Production Assumptions'!$C$33*G16</f>
        <v>5000</v>
      </c>
      <c r="I9" s="132">
        <f>'Production Assumptions'!$C$33*H16</f>
        <v>5000</v>
      </c>
      <c r="J9" s="132">
        <f>'Production Assumptions'!$C$33*I16</f>
        <v>5000</v>
      </c>
      <c r="K9" s="132">
        <f>'Production Assumptions'!$C$33*J16</f>
        <v>5000</v>
      </c>
      <c r="L9" s="132">
        <f>'Production Assumptions'!$C$33*K16</f>
        <v>5000</v>
      </c>
      <c r="M9" s="132">
        <f>'Production Assumptions'!$C$33*L16</f>
        <v>5000</v>
      </c>
      <c r="N9" s="132">
        <f>'Production Assumptions'!$C$33*M16</f>
        <v>5000</v>
      </c>
      <c r="O9" s="132">
        <f>'Production Assumptions'!$C$33*N16</f>
        <v>5000</v>
      </c>
      <c r="P9" s="133">
        <f>'Production Assumptions'!$C$33*O16</f>
        <v>5000</v>
      </c>
      <c r="Q9" s="110">
        <f>Q16</f>
        <v>1</v>
      </c>
      <c r="R9" s="141">
        <f>'Production Assumptions'!$C$33*(1+'Production Assumptions'!$C$4)*R16</f>
        <v>5255</v>
      </c>
      <c r="S9" s="132">
        <f>'Production Assumptions'!$C$33*(1+'Production Assumptions'!$C$4)*S16</f>
        <v>5255</v>
      </c>
      <c r="T9" s="132">
        <f>'Production Assumptions'!$C$33*(1+'Production Assumptions'!$C$4)*T16</f>
        <v>5255</v>
      </c>
      <c r="U9" s="132">
        <f>'Production Assumptions'!$C$33*(1+'Production Assumptions'!$C$4)*U16</f>
        <v>5255</v>
      </c>
      <c r="V9" s="132">
        <f>'Production Assumptions'!$C$33*(1+'Production Assumptions'!$C$4)*V16</f>
        <v>5255</v>
      </c>
      <c r="W9" s="132">
        <f>'Production Assumptions'!$C$33*(1+'Production Assumptions'!$C$4)*W16</f>
        <v>5255</v>
      </c>
      <c r="X9" s="132">
        <f>'Production Assumptions'!$C$33*(1+'Production Assumptions'!$C$4)*X16</f>
        <v>5255</v>
      </c>
      <c r="Y9" s="132">
        <f>'Production Assumptions'!$C$33*(1+'Production Assumptions'!$C$4)*Y16</f>
        <v>5255</v>
      </c>
      <c r="Z9" s="132">
        <f>'Production Assumptions'!$C$33*(1+'Production Assumptions'!$C$4)*Z16</f>
        <v>5255</v>
      </c>
      <c r="AA9" s="132">
        <f>'Production Assumptions'!$C$33*(1+'Production Assumptions'!$C$4)*AA16</f>
        <v>5255</v>
      </c>
      <c r="AB9" s="132">
        <f>'Production Assumptions'!$C$33*(1+'Production Assumptions'!$C$4)*AB16</f>
        <v>5255</v>
      </c>
      <c r="AC9" s="132">
        <f>'Production Assumptions'!$C$33*(1+'Production Assumptions'!$C$4)*AC16</f>
        <v>5255</v>
      </c>
      <c r="AD9" s="535">
        <f>SUM(R9:AC9)</f>
        <v>63060</v>
      </c>
      <c r="AE9" s="538">
        <f>AD16</f>
        <v>1</v>
      </c>
      <c r="AF9" s="535">
        <f>$AD9*(1+'Production Assumptions'!$C$4)</f>
        <v>66276.06</v>
      </c>
      <c r="AG9" s="538">
        <f>AE16</f>
        <v>1</v>
      </c>
      <c r="AH9" s="535">
        <f>$AD9*(1+'Production Assumptions'!$C$4)^2</f>
        <v>69656.139060000001</v>
      </c>
      <c r="AI9" s="538">
        <f>AF16</f>
        <v>1</v>
      </c>
      <c r="AJ9" s="535">
        <f>$AD9*(1+'Production Assumptions'!$C$4)^3</f>
        <v>73208.602152060004</v>
      </c>
      <c r="AK9" s="538">
        <f>AG16</f>
        <v>1</v>
      </c>
      <c r="AL9" s="535">
        <f>$AD9*(1+'Production Assumptions'!$C$4)^4</f>
        <v>76942.240861815051</v>
      </c>
      <c r="AM9" s="538">
        <f>AH16</f>
        <v>1</v>
      </c>
      <c r="AN9" s="535">
        <f>$AD9*(1+'Production Assumptions'!$C$4)^5</f>
        <v>80866.295145767624</v>
      </c>
      <c r="AO9" s="538">
        <f>AI16</f>
        <v>1</v>
      </c>
      <c r="AP9" s="535">
        <f>$AD9*(1+'Production Assumptions'!$C$4)^6</f>
        <v>84990.476198201766</v>
      </c>
      <c r="AQ9" s="538">
        <f>AJ16</f>
        <v>1</v>
      </c>
      <c r="AR9" s="542">
        <f>$AD9*(1+'Production Assumptions'!$C$4)^7</f>
        <v>89324.990484310067</v>
      </c>
      <c r="AS9" s="538">
        <f>AK16</f>
        <v>1</v>
      </c>
      <c r="AT9" s="535">
        <f>$AD9*(1+'Production Assumptions'!$C$4)^8</f>
        <v>93880.564999009875</v>
      </c>
    </row>
    <row r="10" spans="1:46" ht="12.75" thickBot="1">
      <c r="B10" s="519"/>
      <c r="C10" s="119" t="e">
        <f>P17</f>
        <v>#VALUE!</v>
      </c>
      <c r="D10" s="518" t="e">
        <f t="shared" ref="D10:AJ10" si="0">SUM(D7:D9)</f>
        <v>#VALUE!</v>
      </c>
      <c r="E10" s="134" t="e">
        <f>SUM(E7:E9)</f>
        <v>#VALUE!</v>
      </c>
      <c r="F10" s="135" t="e">
        <f t="shared" si="0"/>
        <v>#VALUE!</v>
      </c>
      <c r="G10" s="135" t="e">
        <f t="shared" si="0"/>
        <v>#VALUE!</v>
      </c>
      <c r="H10" s="135" t="e">
        <f t="shared" si="0"/>
        <v>#VALUE!</v>
      </c>
      <c r="I10" s="135" t="e">
        <f t="shared" si="0"/>
        <v>#VALUE!</v>
      </c>
      <c r="J10" s="135" t="e">
        <f t="shared" si="0"/>
        <v>#VALUE!</v>
      </c>
      <c r="K10" s="135" t="e">
        <f t="shared" si="0"/>
        <v>#VALUE!</v>
      </c>
      <c r="L10" s="135" t="e">
        <f t="shared" si="0"/>
        <v>#VALUE!</v>
      </c>
      <c r="M10" s="135" t="e">
        <f t="shared" si="0"/>
        <v>#VALUE!</v>
      </c>
      <c r="N10" s="135" t="e">
        <f t="shared" si="0"/>
        <v>#VALUE!</v>
      </c>
      <c r="O10" s="135" t="e">
        <f t="shared" si="0"/>
        <v>#VALUE!</v>
      </c>
      <c r="P10" s="136" t="e">
        <f t="shared" si="0"/>
        <v>#VALUE!</v>
      </c>
      <c r="Q10" s="113" t="e">
        <f t="shared" si="0"/>
        <v>#VALUE!</v>
      </c>
      <c r="R10" s="134" t="e">
        <f t="shared" si="0"/>
        <v>#VALUE!</v>
      </c>
      <c r="S10" s="135" t="e">
        <f t="shared" si="0"/>
        <v>#VALUE!</v>
      </c>
      <c r="T10" s="135" t="e">
        <f t="shared" si="0"/>
        <v>#VALUE!</v>
      </c>
      <c r="U10" s="135" t="e">
        <f t="shared" si="0"/>
        <v>#VALUE!</v>
      </c>
      <c r="V10" s="135" t="e">
        <f t="shared" si="0"/>
        <v>#VALUE!</v>
      </c>
      <c r="W10" s="135" t="e">
        <f t="shared" si="0"/>
        <v>#VALUE!</v>
      </c>
      <c r="X10" s="135" t="e">
        <f t="shared" si="0"/>
        <v>#VALUE!</v>
      </c>
      <c r="Y10" s="135" t="e">
        <f t="shared" si="0"/>
        <v>#VALUE!</v>
      </c>
      <c r="Z10" s="135" t="e">
        <f t="shared" si="0"/>
        <v>#VALUE!</v>
      </c>
      <c r="AA10" s="135" t="e">
        <f t="shared" si="0"/>
        <v>#VALUE!</v>
      </c>
      <c r="AB10" s="135" t="e">
        <f t="shared" si="0"/>
        <v>#VALUE!</v>
      </c>
      <c r="AC10" s="135" t="e">
        <f t="shared" si="0"/>
        <v>#VALUE!</v>
      </c>
      <c r="AD10" s="536" t="e">
        <f t="shared" si="0"/>
        <v>#VALUE!</v>
      </c>
      <c r="AE10" s="119" t="e">
        <f>SUM(AE7:AE9)</f>
        <v>#VALUE!</v>
      </c>
      <c r="AF10" s="536" t="e">
        <f t="shared" si="0"/>
        <v>#VALUE!</v>
      </c>
      <c r="AG10" s="119" t="e">
        <f t="shared" si="0"/>
        <v>#VALUE!</v>
      </c>
      <c r="AH10" s="536" t="e">
        <f t="shared" si="0"/>
        <v>#VALUE!</v>
      </c>
      <c r="AI10" s="119" t="e">
        <f t="shared" si="0"/>
        <v>#VALUE!</v>
      </c>
      <c r="AJ10" s="536" t="e">
        <f t="shared" si="0"/>
        <v>#VALUE!</v>
      </c>
      <c r="AK10" s="119" t="e">
        <f>AI10</f>
        <v>#VALUE!</v>
      </c>
      <c r="AL10" s="536" t="e">
        <f t="shared" ref="AL10:AT10" si="1">SUM(AL7:AL9)</f>
        <v>#VALUE!</v>
      </c>
      <c r="AM10" s="119" t="e">
        <f t="shared" si="1"/>
        <v>#VALUE!</v>
      </c>
      <c r="AN10" s="536" t="e">
        <f t="shared" si="1"/>
        <v>#VALUE!</v>
      </c>
      <c r="AO10" s="119" t="e">
        <f t="shared" si="1"/>
        <v>#VALUE!</v>
      </c>
      <c r="AP10" s="536" t="e">
        <f t="shared" si="1"/>
        <v>#VALUE!</v>
      </c>
      <c r="AQ10" s="119" t="e">
        <f t="shared" si="1"/>
        <v>#VALUE!</v>
      </c>
      <c r="AR10" s="114" t="e">
        <f t="shared" si="1"/>
        <v>#VALUE!</v>
      </c>
      <c r="AS10" s="119" t="e">
        <f t="shared" si="1"/>
        <v>#VALUE!</v>
      </c>
      <c r="AT10" s="536" t="e">
        <f t="shared" si="1"/>
        <v>#VALUE!</v>
      </c>
    </row>
    <row r="11" spans="1:46" ht="12.75" thickBot="1">
      <c r="B11" s="104"/>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6"/>
    </row>
    <row r="12" spans="1:46" ht="12.75" thickBot="1">
      <c r="B12" s="120" t="s">
        <v>230</v>
      </c>
      <c r="C12" s="527"/>
      <c r="D12" s="1148" t="str">
        <f>E5</f>
        <v>YEAR 1</v>
      </c>
      <c r="E12" s="1148"/>
      <c r="F12" s="1148"/>
      <c r="G12" s="1148"/>
      <c r="H12" s="1148"/>
      <c r="I12" s="1148"/>
      <c r="J12" s="1148"/>
      <c r="K12" s="1148"/>
      <c r="L12" s="1148"/>
      <c r="M12" s="1148"/>
      <c r="N12" s="1148"/>
      <c r="O12" s="1149"/>
      <c r="P12" s="1151" t="s">
        <v>12</v>
      </c>
      <c r="Q12" s="1129" t="s">
        <v>215</v>
      </c>
      <c r="R12" s="1150" t="str">
        <f>R5</f>
        <v>YEAR 2</v>
      </c>
      <c r="S12" s="1150"/>
      <c r="T12" s="1150"/>
      <c r="U12" s="1150"/>
      <c r="V12" s="1150"/>
      <c r="W12" s="1150"/>
      <c r="X12" s="1150"/>
      <c r="Y12" s="1150"/>
      <c r="Z12" s="1150"/>
      <c r="AA12" s="1150"/>
      <c r="AB12" s="1150"/>
      <c r="AC12" s="1150"/>
      <c r="AD12" s="1129" t="s">
        <v>217</v>
      </c>
      <c r="AE12" s="1129" t="s">
        <v>219</v>
      </c>
      <c r="AF12" s="1129" t="s">
        <v>16</v>
      </c>
      <c r="AG12" s="1129" t="s">
        <v>17</v>
      </c>
      <c r="AH12" s="1129" t="s">
        <v>18</v>
      </c>
      <c r="AI12" s="1133" t="s">
        <v>21</v>
      </c>
      <c r="AJ12" s="1129" t="s">
        <v>22</v>
      </c>
      <c r="AK12" s="1129" t="s">
        <v>23</v>
      </c>
      <c r="AL12" s="105"/>
      <c r="AM12" s="105"/>
      <c r="AN12" s="105"/>
      <c r="AO12" s="105"/>
      <c r="AP12" s="105"/>
      <c r="AQ12" s="105"/>
      <c r="AR12" s="105"/>
      <c r="AS12" s="105"/>
      <c r="AT12" s="106"/>
    </row>
    <row r="13" spans="1:46" ht="12.75" thickBot="1">
      <c r="B13" s="520" t="s">
        <v>231</v>
      </c>
      <c r="C13" s="528"/>
      <c r="D13" s="529" t="str">
        <f>E6</f>
        <v>Month 1</v>
      </c>
      <c r="E13" s="529" t="str">
        <f t="shared" ref="E13:O13" si="2">F6</f>
        <v>Month 2</v>
      </c>
      <c r="F13" s="529" t="str">
        <f t="shared" si="2"/>
        <v>Month 3</v>
      </c>
      <c r="G13" s="529" t="str">
        <f t="shared" si="2"/>
        <v>Month 4</v>
      </c>
      <c r="H13" s="529" t="str">
        <f t="shared" si="2"/>
        <v>Month 5</v>
      </c>
      <c r="I13" s="529" t="str">
        <f t="shared" si="2"/>
        <v>Month 6</v>
      </c>
      <c r="J13" s="529" t="str">
        <f t="shared" si="2"/>
        <v>Month 7</v>
      </c>
      <c r="K13" s="529" t="str">
        <f t="shared" si="2"/>
        <v>Month 8</v>
      </c>
      <c r="L13" s="529" t="str">
        <f t="shared" si="2"/>
        <v>Month 9</v>
      </c>
      <c r="M13" s="529" t="str">
        <f t="shared" si="2"/>
        <v>Month 10</v>
      </c>
      <c r="N13" s="529" t="str">
        <f t="shared" si="2"/>
        <v>Month 11</v>
      </c>
      <c r="O13" s="529" t="str">
        <f t="shared" si="2"/>
        <v>Month 12</v>
      </c>
      <c r="P13" s="1152"/>
      <c r="Q13" s="1134"/>
      <c r="R13" s="525" t="str">
        <f>R6</f>
        <v>Month 1</v>
      </c>
      <c r="S13" s="525" t="str">
        <f t="shared" ref="S13:AC13" si="3">S6</f>
        <v>Month 2</v>
      </c>
      <c r="T13" s="525" t="str">
        <f t="shared" si="3"/>
        <v>Month 3</v>
      </c>
      <c r="U13" s="525" t="str">
        <f t="shared" si="3"/>
        <v>Month 4</v>
      </c>
      <c r="V13" s="525" t="str">
        <f t="shared" si="3"/>
        <v>Month 5</v>
      </c>
      <c r="W13" s="525" t="str">
        <f t="shared" si="3"/>
        <v>Month 6</v>
      </c>
      <c r="X13" s="525" t="str">
        <f t="shared" si="3"/>
        <v>Month 7</v>
      </c>
      <c r="Y13" s="525" t="str">
        <f t="shared" si="3"/>
        <v>Month 8</v>
      </c>
      <c r="Z13" s="525" t="str">
        <f t="shared" si="3"/>
        <v>Month 9</v>
      </c>
      <c r="AA13" s="525" t="str">
        <f t="shared" si="3"/>
        <v>Month 10</v>
      </c>
      <c r="AB13" s="525" t="str">
        <f t="shared" si="3"/>
        <v>Month 11</v>
      </c>
      <c r="AC13" s="525" t="str">
        <f t="shared" si="3"/>
        <v>Month 12</v>
      </c>
      <c r="AD13" s="1132"/>
      <c r="AE13" s="1130"/>
      <c r="AF13" s="1130"/>
      <c r="AG13" s="1130"/>
      <c r="AH13" s="1130"/>
      <c r="AI13" s="1134"/>
      <c r="AJ13" s="1130"/>
      <c r="AK13" s="1130"/>
      <c r="AL13" s="105"/>
      <c r="AM13" s="105"/>
      <c r="AN13" s="105"/>
      <c r="AO13" s="105"/>
      <c r="AP13" s="105"/>
      <c r="AQ13" s="105"/>
      <c r="AR13" s="105"/>
      <c r="AS13" s="105"/>
      <c r="AT13" s="106"/>
    </row>
    <row r="14" spans="1:46" ht="12.75" thickBot="1">
      <c r="B14" s="121" t="s">
        <v>232</v>
      </c>
      <c r="C14" s="123" t="str">
        <f>B7</f>
        <v>Skilled Workers</v>
      </c>
      <c r="D14" s="110">
        <f>'Production Assumptions'!F31</f>
        <v>0</v>
      </c>
      <c r="E14" s="110">
        <f>D14</f>
        <v>0</v>
      </c>
      <c r="F14" s="110">
        <f t="shared" ref="F14:O14" si="4">E14</f>
        <v>0</v>
      </c>
      <c r="G14" s="110">
        <f t="shared" si="4"/>
        <v>0</v>
      </c>
      <c r="H14" s="110">
        <f t="shared" si="4"/>
        <v>0</v>
      </c>
      <c r="I14" s="110">
        <f t="shared" si="4"/>
        <v>0</v>
      </c>
      <c r="J14" s="110">
        <f t="shared" si="4"/>
        <v>0</v>
      </c>
      <c r="K14" s="110">
        <f t="shared" si="4"/>
        <v>0</v>
      </c>
      <c r="L14" s="110">
        <f t="shared" si="4"/>
        <v>0</v>
      </c>
      <c r="M14" s="110">
        <f t="shared" si="4"/>
        <v>0</v>
      </c>
      <c r="N14" s="110">
        <f t="shared" si="4"/>
        <v>0</v>
      </c>
      <c r="O14" s="110">
        <f t="shared" si="4"/>
        <v>0</v>
      </c>
      <c r="P14" s="142">
        <f>O14</f>
        <v>0</v>
      </c>
      <c r="Q14" s="142">
        <f>P14</f>
        <v>0</v>
      </c>
      <c r="R14" s="110">
        <f>O14</f>
        <v>0</v>
      </c>
      <c r="S14" s="110">
        <f t="shared" ref="S14:AC14" si="5">P14</f>
        <v>0</v>
      </c>
      <c r="T14" s="110">
        <f t="shared" si="5"/>
        <v>0</v>
      </c>
      <c r="U14" s="110">
        <f t="shared" si="5"/>
        <v>0</v>
      </c>
      <c r="V14" s="110">
        <f t="shared" si="5"/>
        <v>0</v>
      </c>
      <c r="W14" s="110">
        <f t="shared" si="5"/>
        <v>0</v>
      </c>
      <c r="X14" s="110">
        <f t="shared" si="5"/>
        <v>0</v>
      </c>
      <c r="Y14" s="110">
        <f t="shared" si="5"/>
        <v>0</v>
      </c>
      <c r="Z14" s="110">
        <f t="shared" si="5"/>
        <v>0</v>
      </c>
      <c r="AA14" s="110">
        <f t="shared" si="5"/>
        <v>0</v>
      </c>
      <c r="AB14" s="110">
        <f t="shared" si="5"/>
        <v>0</v>
      </c>
      <c r="AC14" s="110">
        <f t="shared" si="5"/>
        <v>0</v>
      </c>
      <c r="AD14" s="142">
        <f t="shared" ref="AD14:AJ14" si="6">(AC$14)</f>
        <v>0</v>
      </c>
      <c r="AE14" s="142">
        <f t="shared" si="6"/>
        <v>0</v>
      </c>
      <c r="AF14" s="142">
        <f t="shared" si="6"/>
        <v>0</v>
      </c>
      <c r="AG14" s="142">
        <f t="shared" si="6"/>
        <v>0</v>
      </c>
      <c r="AH14" s="142">
        <f t="shared" si="6"/>
        <v>0</v>
      </c>
      <c r="AI14" s="142">
        <f t="shared" si="6"/>
        <v>0</v>
      </c>
      <c r="AJ14" s="142">
        <f t="shared" si="6"/>
        <v>0</v>
      </c>
      <c r="AK14" s="142">
        <f>(AJ$14)</f>
        <v>0</v>
      </c>
      <c r="AL14" s="105"/>
      <c r="AM14" s="105"/>
      <c r="AN14" s="105"/>
      <c r="AO14" s="105"/>
      <c r="AP14" s="105"/>
      <c r="AQ14" s="105"/>
      <c r="AR14" s="105"/>
      <c r="AS14" s="105"/>
      <c r="AT14" s="106"/>
    </row>
    <row r="15" spans="1:46" ht="12.75" thickBot="1">
      <c r="B15" s="121" t="s">
        <v>233</v>
      </c>
      <c r="C15" s="122" t="str">
        <f>B8</f>
        <v>Medium Skilled</v>
      </c>
      <c r="D15" s="110" t="e">
        <f>'Production Assumptions'!F32</f>
        <v>#VALUE!</v>
      </c>
      <c r="E15" s="110" t="e">
        <f>D15</f>
        <v>#VALUE!</v>
      </c>
      <c r="F15" s="110" t="e">
        <f t="shared" ref="F15:O15" si="7">E15</f>
        <v>#VALUE!</v>
      </c>
      <c r="G15" s="110" t="e">
        <f t="shared" si="7"/>
        <v>#VALUE!</v>
      </c>
      <c r="H15" s="110" t="e">
        <f t="shared" si="7"/>
        <v>#VALUE!</v>
      </c>
      <c r="I15" s="110" t="e">
        <f t="shared" si="7"/>
        <v>#VALUE!</v>
      </c>
      <c r="J15" s="110" t="e">
        <f t="shared" si="7"/>
        <v>#VALUE!</v>
      </c>
      <c r="K15" s="110" t="e">
        <f t="shared" si="7"/>
        <v>#VALUE!</v>
      </c>
      <c r="L15" s="110" t="e">
        <f t="shared" si="7"/>
        <v>#VALUE!</v>
      </c>
      <c r="M15" s="110" t="e">
        <f t="shared" si="7"/>
        <v>#VALUE!</v>
      </c>
      <c r="N15" s="110" t="e">
        <f t="shared" si="7"/>
        <v>#VALUE!</v>
      </c>
      <c r="O15" s="110" t="e">
        <f t="shared" si="7"/>
        <v>#VALUE!</v>
      </c>
      <c r="P15" s="142" t="e">
        <f>O15</f>
        <v>#VALUE!</v>
      </c>
      <c r="Q15" s="142" t="e">
        <f>P15</f>
        <v>#VALUE!</v>
      </c>
      <c r="R15" s="110" t="e">
        <f>D15</f>
        <v>#VALUE!</v>
      </c>
      <c r="S15" s="110" t="e">
        <f t="shared" ref="S15:AC15" si="8">E15</f>
        <v>#VALUE!</v>
      </c>
      <c r="T15" s="110" t="e">
        <f t="shared" si="8"/>
        <v>#VALUE!</v>
      </c>
      <c r="U15" s="110" t="e">
        <f t="shared" si="8"/>
        <v>#VALUE!</v>
      </c>
      <c r="V15" s="110" t="e">
        <f t="shared" si="8"/>
        <v>#VALUE!</v>
      </c>
      <c r="W15" s="110" t="e">
        <f t="shared" si="8"/>
        <v>#VALUE!</v>
      </c>
      <c r="X15" s="110" t="e">
        <f t="shared" si="8"/>
        <v>#VALUE!</v>
      </c>
      <c r="Y15" s="110" t="e">
        <f t="shared" si="8"/>
        <v>#VALUE!</v>
      </c>
      <c r="Z15" s="110" t="e">
        <f t="shared" si="8"/>
        <v>#VALUE!</v>
      </c>
      <c r="AA15" s="110" t="e">
        <f t="shared" si="8"/>
        <v>#VALUE!</v>
      </c>
      <c r="AB15" s="110" t="e">
        <f t="shared" si="8"/>
        <v>#VALUE!</v>
      </c>
      <c r="AC15" s="110" t="e">
        <f t="shared" si="8"/>
        <v>#VALUE!</v>
      </c>
      <c r="AD15" s="142" t="e">
        <f>AC15</f>
        <v>#VALUE!</v>
      </c>
      <c r="AE15" s="142" t="e">
        <f t="shared" ref="AE15:AK15" si="9">AD15</f>
        <v>#VALUE!</v>
      </c>
      <c r="AF15" s="142" t="e">
        <f t="shared" si="9"/>
        <v>#VALUE!</v>
      </c>
      <c r="AG15" s="142" t="e">
        <f t="shared" si="9"/>
        <v>#VALUE!</v>
      </c>
      <c r="AH15" s="142" t="e">
        <f t="shared" si="9"/>
        <v>#VALUE!</v>
      </c>
      <c r="AI15" s="142" t="e">
        <f t="shared" si="9"/>
        <v>#VALUE!</v>
      </c>
      <c r="AJ15" s="142" t="e">
        <f t="shared" si="9"/>
        <v>#VALUE!</v>
      </c>
      <c r="AK15" s="142" t="e">
        <f t="shared" si="9"/>
        <v>#VALUE!</v>
      </c>
      <c r="AL15" s="105"/>
      <c r="AM15" s="105"/>
      <c r="AN15" s="111"/>
      <c r="AO15" s="105"/>
      <c r="AP15" s="105"/>
      <c r="AQ15" s="105"/>
      <c r="AR15" s="105"/>
      <c r="AS15" s="105"/>
      <c r="AT15" s="106"/>
    </row>
    <row r="16" spans="1:46" ht="12.75" thickBot="1">
      <c r="B16" s="121" t="s">
        <v>233</v>
      </c>
      <c r="C16" s="122" t="str">
        <f>B9</f>
        <v>Low Skilled</v>
      </c>
      <c r="D16" s="110">
        <f>ROUND('Production Assumptions'!$F$33,0)</f>
        <v>1</v>
      </c>
      <c r="E16" s="110">
        <f>ROUND('Production Assumptions'!$F$33,0)</f>
        <v>1</v>
      </c>
      <c r="F16" s="110">
        <f>ROUND('Production Assumptions'!$F$33,0)</f>
        <v>1</v>
      </c>
      <c r="G16" s="110">
        <f>ROUND('Production Assumptions'!$F$33,0)</f>
        <v>1</v>
      </c>
      <c r="H16" s="110">
        <f>ROUND('Production Assumptions'!$F$33,0)</f>
        <v>1</v>
      </c>
      <c r="I16" s="110">
        <f>ROUND('Production Assumptions'!$F$33,0)</f>
        <v>1</v>
      </c>
      <c r="J16" s="110">
        <f>ROUND('Production Assumptions'!$F$33,0)</f>
        <v>1</v>
      </c>
      <c r="K16" s="110">
        <f>ROUND('Production Assumptions'!$F$33,0)</f>
        <v>1</v>
      </c>
      <c r="L16" s="110">
        <f>ROUND('Production Assumptions'!$F$33,0)</f>
        <v>1</v>
      </c>
      <c r="M16" s="110">
        <f>ROUND('Production Assumptions'!$F$33,0)</f>
        <v>1</v>
      </c>
      <c r="N16" s="110">
        <f>ROUND('Production Assumptions'!$F$33,0)</f>
        <v>1</v>
      </c>
      <c r="O16" s="110">
        <f>ROUND('Production Assumptions'!$F$33,0)</f>
        <v>1</v>
      </c>
      <c r="P16" s="142">
        <f>O16</f>
        <v>1</v>
      </c>
      <c r="Q16" s="142">
        <f>AC16</f>
        <v>1</v>
      </c>
      <c r="R16" s="110">
        <f>ROUND('Production Assumptions'!$F$33,0)</f>
        <v>1</v>
      </c>
      <c r="S16" s="110">
        <f>ROUND('Production Assumptions'!$F$33,0)</f>
        <v>1</v>
      </c>
      <c r="T16" s="110">
        <f>ROUND('Production Assumptions'!$F$33,0)</f>
        <v>1</v>
      </c>
      <c r="U16" s="110">
        <f>ROUND('Production Assumptions'!$F$33,0)</f>
        <v>1</v>
      </c>
      <c r="V16" s="110">
        <f>ROUND('Production Assumptions'!$F$33,0)</f>
        <v>1</v>
      </c>
      <c r="W16" s="110">
        <f>ROUND('Production Assumptions'!$F$33,0)</f>
        <v>1</v>
      </c>
      <c r="X16" s="110">
        <f>ROUND('Production Assumptions'!$F$33,0)</f>
        <v>1</v>
      </c>
      <c r="Y16" s="110">
        <f>ROUND('Production Assumptions'!$F$33,0)</f>
        <v>1</v>
      </c>
      <c r="Z16" s="110">
        <f>ROUND('Production Assumptions'!$F$33,0)</f>
        <v>1</v>
      </c>
      <c r="AA16" s="110">
        <f>ROUND('Production Assumptions'!$F$33,0)</f>
        <v>1</v>
      </c>
      <c r="AB16" s="110">
        <f>ROUND('Production Assumptions'!$F$33,0)</f>
        <v>1</v>
      </c>
      <c r="AC16" s="110">
        <f>ROUND('Production Assumptions'!$F$33,0)</f>
        <v>1</v>
      </c>
      <c r="AD16" s="142">
        <f>AC16</f>
        <v>1</v>
      </c>
      <c r="AE16" s="142">
        <f t="shared" ref="AE16:AK16" si="10">AD16</f>
        <v>1</v>
      </c>
      <c r="AF16" s="142">
        <f t="shared" si="10"/>
        <v>1</v>
      </c>
      <c r="AG16" s="142">
        <f t="shared" si="10"/>
        <v>1</v>
      </c>
      <c r="AH16" s="142">
        <f t="shared" si="10"/>
        <v>1</v>
      </c>
      <c r="AI16" s="142">
        <f t="shared" si="10"/>
        <v>1</v>
      </c>
      <c r="AJ16" s="142">
        <f t="shared" si="10"/>
        <v>1</v>
      </c>
      <c r="AK16" s="142">
        <f t="shared" si="10"/>
        <v>1</v>
      </c>
      <c r="AL16" s="105"/>
      <c r="AM16" s="105"/>
      <c r="AN16" s="105"/>
      <c r="AO16" s="105"/>
      <c r="AP16" s="105"/>
      <c r="AQ16" s="105"/>
      <c r="AR16" s="105"/>
      <c r="AS16" s="105"/>
      <c r="AT16" s="106"/>
    </row>
    <row r="17" spans="1:46" s="105" customFormat="1" ht="12.75" thickBot="1">
      <c r="A17" s="103"/>
      <c r="B17" s="116" t="s">
        <v>234</v>
      </c>
      <c r="C17" s="117"/>
      <c r="D17" s="118" t="e">
        <f t="shared" ref="D17:AB17" si="11">SUM(D14:D16)</f>
        <v>#VALUE!</v>
      </c>
      <c r="E17" s="118" t="e">
        <f t="shared" si="11"/>
        <v>#VALUE!</v>
      </c>
      <c r="F17" s="118" t="e">
        <f t="shared" si="11"/>
        <v>#VALUE!</v>
      </c>
      <c r="G17" s="118" t="e">
        <f t="shared" si="11"/>
        <v>#VALUE!</v>
      </c>
      <c r="H17" s="118" t="e">
        <f t="shared" si="11"/>
        <v>#VALUE!</v>
      </c>
      <c r="I17" s="118" t="e">
        <f t="shared" si="11"/>
        <v>#VALUE!</v>
      </c>
      <c r="J17" s="118" t="e">
        <f t="shared" si="11"/>
        <v>#VALUE!</v>
      </c>
      <c r="K17" s="118" t="e">
        <f t="shared" si="11"/>
        <v>#VALUE!</v>
      </c>
      <c r="L17" s="118" t="e">
        <f t="shared" si="11"/>
        <v>#VALUE!</v>
      </c>
      <c r="M17" s="118" t="e">
        <f t="shared" si="11"/>
        <v>#VALUE!</v>
      </c>
      <c r="N17" s="118" t="e">
        <f t="shared" si="11"/>
        <v>#VALUE!</v>
      </c>
      <c r="O17" s="118" t="e">
        <f t="shared" si="11"/>
        <v>#VALUE!</v>
      </c>
      <c r="P17" s="115" t="e">
        <f>SUM(P14:P16)</f>
        <v>#VALUE!</v>
      </c>
      <c r="Q17" s="115" t="e">
        <f t="shared" si="11"/>
        <v>#VALUE!</v>
      </c>
      <c r="R17" s="521" t="e">
        <f t="shared" si="11"/>
        <v>#VALUE!</v>
      </c>
      <c r="S17" s="522" t="e">
        <f t="shared" si="11"/>
        <v>#VALUE!</v>
      </c>
      <c r="T17" s="522" t="e">
        <f t="shared" si="11"/>
        <v>#VALUE!</v>
      </c>
      <c r="U17" s="522" t="e">
        <f t="shared" si="11"/>
        <v>#VALUE!</v>
      </c>
      <c r="V17" s="522" t="e">
        <f t="shared" si="11"/>
        <v>#VALUE!</v>
      </c>
      <c r="W17" s="522" t="e">
        <f t="shared" si="11"/>
        <v>#VALUE!</v>
      </c>
      <c r="X17" s="522" t="e">
        <f t="shared" si="11"/>
        <v>#VALUE!</v>
      </c>
      <c r="Y17" s="522" t="e">
        <f t="shared" si="11"/>
        <v>#VALUE!</v>
      </c>
      <c r="Z17" s="522" t="e">
        <f t="shared" si="11"/>
        <v>#VALUE!</v>
      </c>
      <c r="AA17" s="522" t="e">
        <f t="shared" si="11"/>
        <v>#VALUE!</v>
      </c>
      <c r="AB17" s="522" t="e">
        <f t="shared" si="11"/>
        <v>#VALUE!</v>
      </c>
      <c r="AC17" s="523" t="e">
        <f>SUM(AC14:AC16)</f>
        <v>#VALUE!</v>
      </c>
      <c r="AD17" s="119" t="e">
        <f>SUM(AD14:AD16)</f>
        <v>#VALUE!</v>
      </c>
      <c r="AE17" s="119" t="e">
        <f t="shared" ref="AE17:AK17" si="12">SUM(AE14:AE16)</f>
        <v>#VALUE!</v>
      </c>
      <c r="AF17" s="119" t="e">
        <f t="shared" si="12"/>
        <v>#VALUE!</v>
      </c>
      <c r="AG17" s="119" t="e">
        <f t="shared" si="12"/>
        <v>#VALUE!</v>
      </c>
      <c r="AH17" s="119" t="e">
        <f t="shared" si="12"/>
        <v>#VALUE!</v>
      </c>
      <c r="AI17" s="119" t="e">
        <f t="shared" si="12"/>
        <v>#VALUE!</v>
      </c>
      <c r="AJ17" s="119" t="e">
        <f t="shared" si="12"/>
        <v>#VALUE!</v>
      </c>
      <c r="AK17" s="119" t="e">
        <f t="shared" si="12"/>
        <v>#VALUE!</v>
      </c>
      <c r="AL17" s="104"/>
      <c r="AT17" s="106"/>
    </row>
    <row r="18" spans="1:46" ht="12.75" thickBot="1"/>
    <row r="19" spans="1:46" ht="15.75" customHeight="1" thickBot="1">
      <c r="B19" s="1138" t="s">
        <v>57</v>
      </c>
      <c r="C19" s="1139"/>
      <c r="D19" s="1139"/>
      <c r="E19" s="1139"/>
      <c r="F19" s="1139"/>
      <c r="G19" s="1139"/>
      <c r="H19" s="1139"/>
      <c r="I19" s="1139"/>
      <c r="J19" s="1139"/>
      <c r="K19" s="1139"/>
      <c r="L19" s="1139"/>
      <c r="M19" s="1139"/>
      <c r="N19" s="1139"/>
      <c r="O19" s="1139"/>
      <c r="P19" s="1139"/>
      <c r="Q19" s="1139"/>
      <c r="R19" s="1139"/>
      <c r="S19" s="1139"/>
      <c r="T19" s="1139"/>
      <c r="U19" s="1139"/>
      <c r="V19" s="1139"/>
      <c r="W19" s="1139"/>
      <c r="X19" s="1139"/>
      <c r="Y19" s="1139"/>
      <c r="Z19" s="1139"/>
      <c r="AA19" s="1139"/>
      <c r="AB19" s="1139"/>
      <c r="AC19" s="1139"/>
      <c r="AD19" s="1139"/>
      <c r="AE19" s="1139"/>
      <c r="AF19" s="1139"/>
      <c r="AG19" s="1139"/>
      <c r="AH19" s="1139"/>
      <c r="AI19" s="1139"/>
      <c r="AJ19" s="1139"/>
      <c r="AK19" s="1139"/>
      <c r="AL19" s="1139"/>
      <c r="AM19" s="1139"/>
      <c r="AN19" s="1139"/>
      <c r="AO19" s="1139"/>
      <c r="AP19" s="1139"/>
      <c r="AQ19" s="1139"/>
      <c r="AR19" s="1139"/>
      <c r="AS19" s="1139"/>
      <c r="AT19" s="1140"/>
    </row>
    <row r="20" spans="1:46" ht="12.75" thickBot="1">
      <c r="B20" s="124" t="s">
        <v>212</v>
      </c>
      <c r="C20" s="125"/>
      <c r="D20" s="125"/>
      <c r="E20" s="126"/>
      <c r="F20" s="126"/>
      <c r="G20" s="126"/>
      <c r="H20" s="126"/>
      <c r="I20" s="126"/>
      <c r="J20" s="126"/>
      <c r="K20" s="127"/>
      <c r="L20" s="126"/>
      <c r="M20" s="126"/>
      <c r="N20" s="126"/>
      <c r="O20" s="126"/>
      <c r="P20" s="126"/>
      <c r="Q20" s="530"/>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8"/>
    </row>
    <row r="21" spans="1:46" s="544" customFormat="1" ht="12.75" thickBot="1">
      <c r="B21" s="545"/>
      <c r="C21" s="546"/>
      <c r="D21" s="546"/>
      <c r="E21" s="1144" t="s">
        <v>112</v>
      </c>
      <c r="F21" s="1144"/>
      <c r="G21" s="1144"/>
      <c r="H21" s="1144"/>
      <c r="I21" s="1144"/>
      <c r="J21" s="1144"/>
      <c r="K21" s="1144"/>
      <c r="L21" s="1144"/>
      <c r="M21" s="1144"/>
      <c r="N21" s="1144"/>
      <c r="O21" s="1144"/>
      <c r="P21" s="1144"/>
      <c r="Q21" s="547">
        <v>1</v>
      </c>
      <c r="R21" s="1145" t="s">
        <v>113</v>
      </c>
      <c r="S21" s="1146"/>
      <c r="T21" s="1146"/>
      <c r="U21" s="1146"/>
      <c r="V21" s="1146"/>
      <c r="W21" s="1146"/>
      <c r="X21" s="1146"/>
      <c r="Y21" s="1146"/>
      <c r="Z21" s="1146"/>
      <c r="AA21" s="1146"/>
      <c r="AB21" s="1146"/>
      <c r="AC21" s="1147"/>
      <c r="AD21" s="546"/>
      <c r="AE21" s="546">
        <v>2</v>
      </c>
      <c r="AF21" s="546"/>
      <c r="AG21" s="546">
        <v>3</v>
      </c>
      <c r="AH21" s="546"/>
      <c r="AI21" s="546">
        <v>4</v>
      </c>
      <c r="AJ21" s="546"/>
      <c r="AK21" s="546">
        <v>5</v>
      </c>
      <c r="AL21" s="546"/>
      <c r="AM21" s="546">
        <v>6</v>
      </c>
      <c r="AN21" s="546"/>
      <c r="AO21" s="546">
        <v>7</v>
      </c>
      <c r="AP21" s="546"/>
      <c r="AQ21" s="546">
        <v>8</v>
      </c>
      <c r="AR21" s="546"/>
      <c r="AS21" s="546">
        <v>9</v>
      </c>
      <c r="AT21" s="548"/>
    </row>
    <row r="22" spans="1:46" ht="12.75" thickBot="1">
      <c r="B22" s="112" t="s">
        <v>213</v>
      </c>
      <c r="C22" s="129" t="s">
        <v>12</v>
      </c>
      <c r="D22" s="144" t="s">
        <v>214</v>
      </c>
      <c r="E22" s="526" t="s">
        <v>134</v>
      </c>
      <c r="F22" s="526" t="s">
        <v>135</v>
      </c>
      <c r="G22" s="526" t="s">
        <v>136</v>
      </c>
      <c r="H22" s="526" t="s">
        <v>137</v>
      </c>
      <c r="I22" s="526" t="s">
        <v>138</v>
      </c>
      <c r="J22" s="526" t="s">
        <v>139</v>
      </c>
      <c r="K22" s="526" t="s">
        <v>140</v>
      </c>
      <c r="L22" s="526" t="s">
        <v>141</v>
      </c>
      <c r="M22" s="526" t="s">
        <v>142</v>
      </c>
      <c r="N22" s="526" t="s">
        <v>143</v>
      </c>
      <c r="O22" s="526" t="s">
        <v>144</v>
      </c>
      <c r="P22" s="526" t="s">
        <v>145</v>
      </c>
      <c r="Q22" s="524" t="s">
        <v>215</v>
      </c>
      <c r="R22" s="526" t="s">
        <v>134</v>
      </c>
      <c r="S22" s="526" t="s">
        <v>135</v>
      </c>
      <c r="T22" s="526" t="s">
        <v>136</v>
      </c>
      <c r="U22" s="526" t="s">
        <v>137</v>
      </c>
      <c r="V22" s="526" t="s">
        <v>138</v>
      </c>
      <c r="W22" s="526" t="s">
        <v>139</v>
      </c>
      <c r="X22" s="526" t="s">
        <v>140</v>
      </c>
      <c r="Y22" s="526" t="s">
        <v>141</v>
      </c>
      <c r="Z22" s="526" t="s">
        <v>142</v>
      </c>
      <c r="AA22" s="526" t="s">
        <v>143</v>
      </c>
      <c r="AB22" s="526" t="s">
        <v>144</v>
      </c>
      <c r="AC22" s="531" t="s">
        <v>145</v>
      </c>
      <c r="AD22" s="532" t="s">
        <v>216</v>
      </c>
      <c r="AE22" s="526" t="s">
        <v>217</v>
      </c>
      <c r="AF22" s="532" t="s">
        <v>218</v>
      </c>
      <c r="AG22" s="526" t="s">
        <v>219</v>
      </c>
      <c r="AH22" s="532" t="s">
        <v>220</v>
      </c>
      <c r="AI22" s="526" t="s">
        <v>16</v>
      </c>
      <c r="AJ22" s="532" t="s">
        <v>221</v>
      </c>
      <c r="AK22" s="526" t="s">
        <v>17</v>
      </c>
      <c r="AL22" s="532" t="s">
        <v>222</v>
      </c>
      <c r="AM22" s="526" t="s">
        <v>18</v>
      </c>
      <c r="AN22" s="532" t="s">
        <v>223</v>
      </c>
      <c r="AO22" s="526" t="s">
        <v>21</v>
      </c>
      <c r="AP22" s="144" t="s">
        <v>224</v>
      </c>
      <c r="AQ22" s="526" t="s">
        <v>22</v>
      </c>
      <c r="AR22" s="532" t="s">
        <v>225</v>
      </c>
      <c r="AS22" s="526" t="s">
        <v>23</v>
      </c>
      <c r="AT22" s="532" t="s">
        <v>226</v>
      </c>
    </row>
    <row r="23" spans="1:46" ht="12.75" thickBot="1">
      <c r="B23" s="122" t="s">
        <v>227</v>
      </c>
      <c r="C23" s="130">
        <f>P30</f>
        <v>0</v>
      </c>
      <c r="D23" s="516">
        <f>SUM(E23:P23)</f>
        <v>0</v>
      </c>
      <c r="E23" s="137">
        <f>'Production Assumptions'!$C$31*D30</f>
        <v>0</v>
      </c>
      <c r="F23" s="138">
        <f>'Production Assumptions'!$C$31*E30</f>
        <v>0</v>
      </c>
      <c r="G23" s="138">
        <f>'Production Assumptions'!$C$31*F30</f>
        <v>0</v>
      </c>
      <c r="H23" s="138">
        <f>'Production Assumptions'!$C$31*G30</f>
        <v>0</v>
      </c>
      <c r="I23" s="138">
        <f>'Production Assumptions'!$C$31*H30</f>
        <v>0</v>
      </c>
      <c r="J23" s="138">
        <f>'Production Assumptions'!$C$31*I30</f>
        <v>0</v>
      </c>
      <c r="K23" s="138">
        <f>'Production Assumptions'!$C$31*J30</f>
        <v>0</v>
      </c>
      <c r="L23" s="138">
        <f>'Production Assumptions'!$C$31*K30</f>
        <v>0</v>
      </c>
      <c r="M23" s="138">
        <f>'Production Assumptions'!$C$31*L30</f>
        <v>0</v>
      </c>
      <c r="N23" s="138">
        <f>'Production Assumptions'!$C$31*M30</f>
        <v>0</v>
      </c>
      <c r="O23" s="138">
        <f>'Production Assumptions'!$C$31*N30</f>
        <v>0</v>
      </c>
      <c r="P23" s="139">
        <f>'Production Assumptions'!$C$31*O30</f>
        <v>0</v>
      </c>
      <c r="Q23" s="110">
        <f>Q30</f>
        <v>0</v>
      </c>
      <c r="R23" s="137">
        <f>'Production Assumptions'!$C$31*(1+'Production Assumptions'!$C$4)*R30</f>
        <v>0</v>
      </c>
      <c r="S23" s="138">
        <f>'Production Assumptions'!$C$31*(1+'Production Assumptions'!$C$4)*S30</f>
        <v>0</v>
      </c>
      <c r="T23" s="138">
        <f>'Production Assumptions'!$C$31*(1+'Production Assumptions'!$C$4)*T30</f>
        <v>0</v>
      </c>
      <c r="U23" s="138">
        <f>'Production Assumptions'!$C$31*(1+'Production Assumptions'!$C$4)*U30</f>
        <v>0</v>
      </c>
      <c r="V23" s="138">
        <f>'Production Assumptions'!$C$31*(1+'Production Assumptions'!$C$4)*V30</f>
        <v>0</v>
      </c>
      <c r="W23" s="138">
        <f>'Production Assumptions'!$C$31*(1+'Production Assumptions'!$C$4)*W30</f>
        <v>0</v>
      </c>
      <c r="X23" s="138">
        <f>'Production Assumptions'!$C$31*(1+'Production Assumptions'!$C$4)*X30</f>
        <v>0</v>
      </c>
      <c r="Y23" s="138">
        <f>'Production Assumptions'!$C$31*(1+'Production Assumptions'!$C$4)*Y30</f>
        <v>0</v>
      </c>
      <c r="Z23" s="138">
        <f>'Production Assumptions'!$C$31*(1+'Production Assumptions'!$C$4)*Z30</f>
        <v>0</v>
      </c>
      <c r="AA23" s="138">
        <f>'Production Assumptions'!$C$31*(1+'Production Assumptions'!$C$4)*AA30</f>
        <v>0</v>
      </c>
      <c r="AB23" s="138">
        <f>'Production Assumptions'!$C$31*(1+'Production Assumptions'!$C$4)*AB30</f>
        <v>0</v>
      </c>
      <c r="AC23" s="138">
        <f>'Production Assumptions'!$C$31*(1+'Production Assumptions'!$C$4)*AC30</f>
        <v>0</v>
      </c>
      <c r="AD23" s="533">
        <f>SUM(R23:AC23)</f>
        <v>0</v>
      </c>
      <c r="AE23" s="537">
        <f>AD30</f>
        <v>0</v>
      </c>
      <c r="AF23" s="533">
        <f>$AD23*(1+'Production Assumptions'!$C$4)</f>
        <v>0</v>
      </c>
      <c r="AG23" s="537">
        <f>AE30</f>
        <v>0</v>
      </c>
      <c r="AH23" s="533">
        <f>$AD23*(1+'Production Assumptions'!$C$4)^2</f>
        <v>0</v>
      </c>
      <c r="AI23" s="537">
        <f>AF30</f>
        <v>0</v>
      </c>
      <c r="AJ23" s="533">
        <f>$AD23*(1+'Production Assumptions'!$C$4)^3</f>
        <v>0</v>
      </c>
      <c r="AK23" s="537">
        <f>AG30</f>
        <v>0</v>
      </c>
      <c r="AL23" s="533">
        <f>$AD23*(1+'Production Assumptions'!$C$4)^4</f>
        <v>0</v>
      </c>
      <c r="AM23" s="537">
        <f>AH30</f>
        <v>0</v>
      </c>
      <c r="AN23" s="533">
        <f>$AD23*(1+'Production Assumptions'!$C$4)^5</f>
        <v>0</v>
      </c>
      <c r="AO23" s="537">
        <f>AI30</f>
        <v>0</v>
      </c>
      <c r="AP23" s="145">
        <f>$AD23*(1+'Production Assumptions'!$C$4)^6</f>
        <v>0</v>
      </c>
      <c r="AQ23" s="537">
        <f>AJ30</f>
        <v>0</v>
      </c>
      <c r="AR23" s="533">
        <f>$AD23*(1+'Production Assumptions'!$C$4)^7</f>
        <v>0</v>
      </c>
      <c r="AS23" s="537">
        <f>AK30</f>
        <v>0</v>
      </c>
      <c r="AT23" s="533">
        <f>$AD23*(1+'Production Assumptions'!$C$4)^8</f>
        <v>0</v>
      </c>
    </row>
    <row r="24" spans="1:46" ht="12.75" thickBot="1">
      <c r="B24" s="122" t="s">
        <v>228</v>
      </c>
      <c r="C24" s="130" t="e">
        <f>P31</f>
        <v>#VALUE!</v>
      </c>
      <c r="D24" s="143" t="e">
        <f>SUM(E24:P24)</f>
        <v>#VALUE!</v>
      </c>
      <c r="E24" s="140" t="e">
        <f>'Production Assumptions'!$C$32*D31</f>
        <v>#VALUE!</v>
      </c>
      <c r="F24" s="107" t="e">
        <f>'Production Assumptions'!$C$32*E31</f>
        <v>#VALUE!</v>
      </c>
      <c r="G24" s="107" t="e">
        <f>'Production Assumptions'!$C$32*F31</f>
        <v>#VALUE!</v>
      </c>
      <c r="H24" s="107" t="e">
        <f>'Production Assumptions'!$C$32*G31</f>
        <v>#VALUE!</v>
      </c>
      <c r="I24" s="107" t="e">
        <f>'Production Assumptions'!$C$32*H31</f>
        <v>#VALUE!</v>
      </c>
      <c r="J24" s="107" t="e">
        <f>'Production Assumptions'!$C$32*I31</f>
        <v>#VALUE!</v>
      </c>
      <c r="K24" s="107" t="e">
        <f>'Production Assumptions'!$C$32*J31</f>
        <v>#VALUE!</v>
      </c>
      <c r="L24" s="107" t="e">
        <f>'Production Assumptions'!$C$32*K31</f>
        <v>#VALUE!</v>
      </c>
      <c r="M24" s="107" t="e">
        <f>'Production Assumptions'!$C$32*L31</f>
        <v>#VALUE!</v>
      </c>
      <c r="N24" s="107" t="e">
        <f>'Production Assumptions'!$C$32*M31</f>
        <v>#VALUE!</v>
      </c>
      <c r="O24" s="107" t="e">
        <f>'Production Assumptions'!$C$32*N31</f>
        <v>#VALUE!</v>
      </c>
      <c r="P24" s="109" t="e">
        <f>'Production Assumptions'!$C$32*O31</f>
        <v>#VALUE!</v>
      </c>
      <c r="Q24" s="110" t="e">
        <f>Q31</f>
        <v>#VALUE!</v>
      </c>
      <c r="R24" s="140" t="e">
        <f>'Production Assumptions'!$C$32*(1+'Production Assumptions'!$C$4)*R31</f>
        <v>#VALUE!</v>
      </c>
      <c r="S24" s="107" t="e">
        <f>'Production Assumptions'!$C$32*(1+'Production Assumptions'!$C$4)*S31</f>
        <v>#VALUE!</v>
      </c>
      <c r="T24" s="107" t="e">
        <f>'Production Assumptions'!$C$32*(1+'Production Assumptions'!$C$4)*T31</f>
        <v>#VALUE!</v>
      </c>
      <c r="U24" s="107" t="e">
        <f>'Production Assumptions'!$C$32*(1+'Production Assumptions'!$C$4)*U31</f>
        <v>#VALUE!</v>
      </c>
      <c r="V24" s="107" t="e">
        <f>'Production Assumptions'!$C$32*(1+'Production Assumptions'!$C$4)*V31</f>
        <v>#VALUE!</v>
      </c>
      <c r="W24" s="107" t="e">
        <f>'Production Assumptions'!$C$32*(1+'Production Assumptions'!$C$4)*W31</f>
        <v>#VALUE!</v>
      </c>
      <c r="X24" s="107" t="e">
        <f>'Production Assumptions'!$C$32*(1+'Production Assumptions'!$C$4)*X31</f>
        <v>#VALUE!</v>
      </c>
      <c r="Y24" s="107" t="e">
        <f>'Production Assumptions'!$C$32*(1+'Production Assumptions'!$C$4)*Y31</f>
        <v>#VALUE!</v>
      </c>
      <c r="Z24" s="107" t="e">
        <f>'Production Assumptions'!$C$32*(1+'Production Assumptions'!$C$4)*Z31</f>
        <v>#VALUE!</v>
      </c>
      <c r="AA24" s="107" t="e">
        <f>'Production Assumptions'!$C$32*(1+'Production Assumptions'!$C$4)*AA31</f>
        <v>#VALUE!</v>
      </c>
      <c r="AB24" s="107" t="e">
        <f>'Production Assumptions'!$C$32*(1+'Production Assumptions'!$C$4)*AB31</f>
        <v>#VALUE!</v>
      </c>
      <c r="AC24" s="107" t="e">
        <f>'Production Assumptions'!$C$32*(1+'Production Assumptions'!$C$4)*AC31</f>
        <v>#VALUE!</v>
      </c>
      <c r="AD24" s="534" t="e">
        <f>SUM(R24:AC24)</f>
        <v>#VALUE!</v>
      </c>
      <c r="AE24" s="108" t="e">
        <f>AD31</f>
        <v>#VALUE!</v>
      </c>
      <c r="AF24" s="534" t="e">
        <f>$AD24*(1+'Production Assumptions'!$C$4)</f>
        <v>#VALUE!</v>
      </c>
      <c r="AG24" s="108" t="e">
        <f>AE31</f>
        <v>#VALUE!</v>
      </c>
      <c r="AH24" s="534" t="e">
        <f>$AD24*(1+'Production Assumptions'!$C$4)^2</f>
        <v>#VALUE!</v>
      </c>
      <c r="AI24" s="108" t="e">
        <f>AF31</f>
        <v>#VALUE!</v>
      </c>
      <c r="AJ24" s="534" t="e">
        <f>$AD24*(1+'Production Assumptions'!$C$4)^3</f>
        <v>#VALUE!</v>
      </c>
      <c r="AK24" s="108" t="e">
        <f>AG31</f>
        <v>#VALUE!</v>
      </c>
      <c r="AL24" s="534" t="e">
        <f>$AD24*(1+'Production Assumptions'!$C$4)^4</f>
        <v>#VALUE!</v>
      </c>
      <c r="AM24" s="108" t="e">
        <f>AH31</f>
        <v>#VALUE!</v>
      </c>
      <c r="AN24" s="534" t="e">
        <f>$AD24*(1+'Production Assumptions'!$C$4)^5</f>
        <v>#VALUE!</v>
      </c>
      <c r="AO24" s="108" t="e">
        <f>AI31</f>
        <v>#VALUE!</v>
      </c>
      <c r="AP24" s="146" t="e">
        <f>$AD24*(1+'Production Assumptions'!$C$4)^6</f>
        <v>#VALUE!</v>
      </c>
      <c r="AQ24" s="108" t="e">
        <f>AJ31</f>
        <v>#VALUE!</v>
      </c>
      <c r="AR24" s="534" t="e">
        <f>$AD24*(1+'Production Assumptions'!$C$4)^7</f>
        <v>#VALUE!</v>
      </c>
      <c r="AS24" s="108" t="e">
        <f>AK31</f>
        <v>#VALUE!</v>
      </c>
      <c r="AT24" s="534" t="e">
        <f>$AD24*(1+'Production Assumptions'!$C$4)^8</f>
        <v>#VALUE!</v>
      </c>
    </row>
    <row r="25" spans="1:46" ht="12.75" thickBot="1">
      <c r="B25" s="122" t="s">
        <v>229</v>
      </c>
      <c r="C25" s="130">
        <f>P32</f>
        <v>1</v>
      </c>
      <c r="D25" s="517">
        <f>SUM(E25:P25)</f>
        <v>60000</v>
      </c>
      <c r="E25" s="141">
        <f>'Production Assumptions'!$C$33*D32</f>
        <v>5000</v>
      </c>
      <c r="F25" s="132">
        <f>'Production Assumptions'!$C$33*E32</f>
        <v>5000</v>
      </c>
      <c r="G25" s="132">
        <f>'Production Assumptions'!$C$33*F32</f>
        <v>5000</v>
      </c>
      <c r="H25" s="132">
        <f>'Production Assumptions'!$C$33*G32</f>
        <v>5000</v>
      </c>
      <c r="I25" s="132">
        <f>'Production Assumptions'!$C$33*H32</f>
        <v>5000</v>
      </c>
      <c r="J25" s="132">
        <f>'Production Assumptions'!$C$33*I32</f>
        <v>5000</v>
      </c>
      <c r="K25" s="132">
        <f>'Production Assumptions'!$C$33*J32</f>
        <v>5000</v>
      </c>
      <c r="L25" s="132">
        <f>'Production Assumptions'!$C$33*K32</f>
        <v>5000</v>
      </c>
      <c r="M25" s="132">
        <f>'Production Assumptions'!$C$33*L32</f>
        <v>5000</v>
      </c>
      <c r="N25" s="132">
        <f>'Production Assumptions'!$C$33*M32</f>
        <v>5000</v>
      </c>
      <c r="O25" s="132">
        <f>'Production Assumptions'!$C$33*N32</f>
        <v>5000</v>
      </c>
      <c r="P25" s="133">
        <f>'Production Assumptions'!$C$33*O32</f>
        <v>5000</v>
      </c>
      <c r="Q25" s="110">
        <f>Q32</f>
        <v>1</v>
      </c>
      <c r="R25" s="141">
        <f>'Production Assumptions'!$C$33*(1+'Production Assumptions'!$C$4)*R32</f>
        <v>5255</v>
      </c>
      <c r="S25" s="132">
        <f>'Production Assumptions'!$C$33*(1+'Production Assumptions'!$C$4)*S32</f>
        <v>5255</v>
      </c>
      <c r="T25" s="132">
        <f>'Production Assumptions'!$C$33*(1+'Production Assumptions'!$C$4)*T32</f>
        <v>5255</v>
      </c>
      <c r="U25" s="132">
        <f>'Production Assumptions'!$C$33*(1+'Production Assumptions'!$C$4)*U32</f>
        <v>5255</v>
      </c>
      <c r="V25" s="132">
        <f>'Production Assumptions'!$C$33*(1+'Production Assumptions'!$C$4)*V32</f>
        <v>5255</v>
      </c>
      <c r="W25" s="132">
        <f>'Production Assumptions'!$C$33*(1+'Production Assumptions'!$C$4)*W32</f>
        <v>5255</v>
      </c>
      <c r="X25" s="132">
        <f>'Production Assumptions'!$C$33*(1+'Production Assumptions'!$C$4)*X32</f>
        <v>5255</v>
      </c>
      <c r="Y25" s="132">
        <f>'Production Assumptions'!$C$33*(1+'Production Assumptions'!$C$4)*Y32</f>
        <v>5255</v>
      </c>
      <c r="Z25" s="132">
        <f>'Production Assumptions'!$C$33*(1+'Production Assumptions'!$C$4)*Z32</f>
        <v>5255</v>
      </c>
      <c r="AA25" s="132">
        <f>'Production Assumptions'!$C$33*(1+'Production Assumptions'!$C$4)*AA32</f>
        <v>5255</v>
      </c>
      <c r="AB25" s="132">
        <f>'Production Assumptions'!$C$33*(1+'Production Assumptions'!$C$4)*AB32</f>
        <v>5255</v>
      </c>
      <c r="AC25" s="132">
        <f>'Production Assumptions'!$C$33*(1+'Production Assumptions'!$C$4)*AC32</f>
        <v>5255</v>
      </c>
      <c r="AD25" s="535">
        <f>SUM(R25:AC25)</f>
        <v>63060</v>
      </c>
      <c r="AE25" s="538">
        <f>AD32</f>
        <v>1</v>
      </c>
      <c r="AF25" s="535">
        <f>$AD25*(1+'Production Assumptions'!$C$4)</f>
        <v>66276.06</v>
      </c>
      <c r="AG25" s="538">
        <f>AE32</f>
        <v>1</v>
      </c>
      <c r="AH25" s="535">
        <f>$AD25*(1+'Production Assumptions'!$C$4)^2</f>
        <v>69656.139060000001</v>
      </c>
      <c r="AI25" s="538">
        <f>AF32</f>
        <v>1</v>
      </c>
      <c r="AJ25" s="535">
        <f>$AD25*(1+'Production Assumptions'!$C$4)^3</f>
        <v>73208.602152060004</v>
      </c>
      <c r="AK25" s="538">
        <f>AG32</f>
        <v>1</v>
      </c>
      <c r="AL25" s="535">
        <f>$AD25*(1+'Production Assumptions'!$C$4)^4</f>
        <v>76942.240861815051</v>
      </c>
      <c r="AM25" s="538">
        <f>AH32</f>
        <v>1</v>
      </c>
      <c r="AN25" s="535">
        <f>$AD25*(1+'Production Assumptions'!$C$4)^5</f>
        <v>80866.295145767624</v>
      </c>
      <c r="AO25" s="538">
        <f>AI32</f>
        <v>1</v>
      </c>
      <c r="AP25" s="147">
        <f>$AD25*(1+'Production Assumptions'!$C$4)^6</f>
        <v>84990.476198201766</v>
      </c>
      <c r="AQ25" s="538">
        <f>AJ32</f>
        <v>1</v>
      </c>
      <c r="AR25" s="535">
        <f>$AD25*(1+'Production Assumptions'!$C$4)^7</f>
        <v>89324.990484310067</v>
      </c>
      <c r="AS25" s="538">
        <f>AK32</f>
        <v>1</v>
      </c>
      <c r="AT25" s="535">
        <f>$AD25*(1+'Production Assumptions'!$C$4)^8</f>
        <v>93880.564999009875</v>
      </c>
    </row>
    <row r="26" spans="1:46" ht="12.75" thickBot="1">
      <c r="B26" s="519"/>
      <c r="C26" s="119" t="e">
        <f>P33</f>
        <v>#VALUE!</v>
      </c>
      <c r="D26" s="518" t="e">
        <f t="shared" ref="D26:AJ26" si="13">SUM(D23:D25)</f>
        <v>#VALUE!</v>
      </c>
      <c r="E26" s="134" t="e">
        <f t="shared" si="13"/>
        <v>#VALUE!</v>
      </c>
      <c r="F26" s="135" t="e">
        <f t="shared" si="13"/>
        <v>#VALUE!</v>
      </c>
      <c r="G26" s="135" t="e">
        <f t="shared" si="13"/>
        <v>#VALUE!</v>
      </c>
      <c r="H26" s="135" t="e">
        <f t="shared" si="13"/>
        <v>#VALUE!</v>
      </c>
      <c r="I26" s="135" t="e">
        <f t="shared" si="13"/>
        <v>#VALUE!</v>
      </c>
      <c r="J26" s="135" t="e">
        <f t="shared" si="13"/>
        <v>#VALUE!</v>
      </c>
      <c r="K26" s="135" t="e">
        <f t="shared" si="13"/>
        <v>#VALUE!</v>
      </c>
      <c r="L26" s="135" t="e">
        <f t="shared" si="13"/>
        <v>#VALUE!</v>
      </c>
      <c r="M26" s="135" t="e">
        <f t="shared" si="13"/>
        <v>#VALUE!</v>
      </c>
      <c r="N26" s="135" t="e">
        <f t="shared" si="13"/>
        <v>#VALUE!</v>
      </c>
      <c r="O26" s="135" t="e">
        <f t="shared" si="13"/>
        <v>#VALUE!</v>
      </c>
      <c r="P26" s="136" t="e">
        <f t="shared" si="13"/>
        <v>#VALUE!</v>
      </c>
      <c r="Q26" s="113" t="e">
        <f>SUM(Q23:Q25)</f>
        <v>#VALUE!</v>
      </c>
      <c r="R26" s="134" t="e">
        <f t="shared" si="13"/>
        <v>#VALUE!</v>
      </c>
      <c r="S26" s="135" t="e">
        <f t="shared" si="13"/>
        <v>#VALUE!</v>
      </c>
      <c r="T26" s="135" t="e">
        <f t="shared" si="13"/>
        <v>#VALUE!</v>
      </c>
      <c r="U26" s="135" t="e">
        <f t="shared" si="13"/>
        <v>#VALUE!</v>
      </c>
      <c r="V26" s="135" t="e">
        <f t="shared" si="13"/>
        <v>#VALUE!</v>
      </c>
      <c r="W26" s="135" t="e">
        <f t="shared" si="13"/>
        <v>#VALUE!</v>
      </c>
      <c r="X26" s="135" t="e">
        <f t="shared" si="13"/>
        <v>#VALUE!</v>
      </c>
      <c r="Y26" s="135" t="e">
        <f t="shared" si="13"/>
        <v>#VALUE!</v>
      </c>
      <c r="Z26" s="135" t="e">
        <f t="shared" si="13"/>
        <v>#VALUE!</v>
      </c>
      <c r="AA26" s="135" t="e">
        <f t="shared" si="13"/>
        <v>#VALUE!</v>
      </c>
      <c r="AB26" s="135" t="e">
        <f t="shared" si="13"/>
        <v>#VALUE!</v>
      </c>
      <c r="AC26" s="135" t="e">
        <f t="shared" si="13"/>
        <v>#VALUE!</v>
      </c>
      <c r="AD26" s="536" t="e">
        <f t="shared" si="13"/>
        <v>#VALUE!</v>
      </c>
      <c r="AE26" s="119" t="e">
        <f>SUM(AE23:AE25)</f>
        <v>#VALUE!</v>
      </c>
      <c r="AF26" s="536" t="e">
        <f t="shared" si="13"/>
        <v>#VALUE!</v>
      </c>
      <c r="AG26" s="119" t="e">
        <f>SUM(AG23:AG25)</f>
        <v>#VALUE!</v>
      </c>
      <c r="AH26" s="536" t="e">
        <f t="shared" si="13"/>
        <v>#VALUE!</v>
      </c>
      <c r="AI26" s="119" t="e">
        <f>SUM(AI23:AI25)</f>
        <v>#VALUE!</v>
      </c>
      <c r="AJ26" s="536" t="e">
        <f t="shared" si="13"/>
        <v>#VALUE!</v>
      </c>
      <c r="AK26" s="119" t="e">
        <f>AI26</f>
        <v>#VALUE!</v>
      </c>
      <c r="AL26" s="536" t="e">
        <f t="shared" ref="AL26:AT26" si="14">SUM(AL23:AL25)</f>
        <v>#VALUE!</v>
      </c>
      <c r="AM26" s="119" t="e">
        <f t="shared" si="14"/>
        <v>#VALUE!</v>
      </c>
      <c r="AN26" s="536" t="e">
        <f t="shared" si="14"/>
        <v>#VALUE!</v>
      </c>
      <c r="AO26" s="119" t="e">
        <f t="shared" si="14"/>
        <v>#VALUE!</v>
      </c>
      <c r="AP26" s="539" t="e">
        <f t="shared" si="14"/>
        <v>#VALUE!</v>
      </c>
      <c r="AQ26" s="119" t="e">
        <f t="shared" si="14"/>
        <v>#VALUE!</v>
      </c>
      <c r="AR26" s="536" t="e">
        <f t="shared" si="14"/>
        <v>#VALUE!</v>
      </c>
      <c r="AS26" s="119" t="e">
        <f t="shared" si="14"/>
        <v>#VALUE!</v>
      </c>
      <c r="AT26" s="536" t="e">
        <f t="shared" si="14"/>
        <v>#VALUE!</v>
      </c>
    </row>
    <row r="27" spans="1:46" ht="12.75" thickBot="1">
      <c r="B27" s="104"/>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6"/>
    </row>
    <row r="28" spans="1:46" ht="12.75" thickBot="1">
      <c r="B28" s="120" t="s">
        <v>230</v>
      </c>
      <c r="C28" s="527"/>
      <c r="D28" s="1148" t="str">
        <f>E21</f>
        <v>YEAR 1</v>
      </c>
      <c r="E28" s="1148"/>
      <c r="F28" s="1148"/>
      <c r="G28" s="1148"/>
      <c r="H28" s="1148"/>
      <c r="I28" s="1148"/>
      <c r="J28" s="1148"/>
      <c r="K28" s="1148"/>
      <c r="L28" s="1148"/>
      <c r="M28" s="1148"/>
      <c r="N28" s="1148"/>
      <c r="O28" s="1149"/>
      <c r="P28" s="1151" t="s">
        <v>12</v>
      </c>
      <c r="Q28" s="1154" t="s">
        <v>215</v>
      </c>
      <c r="R28" s="1153" t="str">
        <f>R21</f>
        <v>YEAR 2</v>
      </c>
      <c r="S28" s="1150"/>
      <c r="T28" s="1150"/>
      <c r="U28" s="1150"/>
      <c r="V28" s="1150"/>
      <c r="W28" s="1150"/>
      <c r="X28" s="1150"/>
      <c r="Y28" s="1150"/>
      <c r="Z28" s="1150"/>
      <c r="AA28" s="1150"/>
      <c r="AB28" s="1150"/>
      <c r="AC28" s="1150"/>
      <c r="AD28" s="1129" t="s">
        <v>217</v>
      </c>
      <c r="AE28" s="1129" t="s">
        <v>219</v>
      </c>
      <c r="AF28" s="1129" t="s">
        <v>16</v>
      </c>
      <c r="AG28" s="1129" t="s">
        <v>17</v>
      </c>
      <c r="AH28" s="1129" t="s">
        <v>18</v>
      </c>
      <c r="AI28" s="1133" t="s">
        <v>21</v>
      </c>
      <c r="AJ28" s="1129" t="s">
        <v>22</v>
      </c>
      <c r="AK28" s="1129" t="s">
        <v>23</v>
      </c>
      <c r="AL28" s="105"/>
      <c r="AM28" s="105"/>
      <c r="AN28" s="105"/>
      <c r="AO28" s="105"/>
      <c r="AP28" s="105"/>
      <c r="AQ28" s="105"/>
      <c r="AR28" s="105"/>
      <c r="AS28" s="105"/>
      <c r="AT28" s="106"/>
    </row>
    <row r="29" spans="1:46" ht="12.75" thickBot="1">
      <c r="B29" s="520" t="s">
        <v>231</v>
      </c>
      <c r="C29" s="528"/>
      <c r="D29" s="529" t="str">
        <f>E22</f>
        <v>Month 1</v>
      </c>
      <c r="E29" s="529" t="str">
        <f t="shared" ref="E29:O29" si="15">F22</f>
        <v>Month 2</v>
      </c>
      <c r="F29" s="529" t="str">
        <f t="shared" si="15"/>
        <v>Month 3</v>
      </c>
      <c r="G29" s="529" t="str">
        <f t="shared" si="15"/>
        <v>Month 4</v>
      </c>
      <c r="H29" s="529" t="str">
        <f t="shared" si="15"/>
        <v>Month 5</v>
      </c>
      <c r="I29" s="529" t="str">
        <f t="shared" si="15"/>
        <v>Month 6</v>
      </c>
      <c r="J29" s="529" t="str">
        <f t="shared" si="15"/>
        <v>Month 7</v>
      </c>
      <c r="K29" s="529" t="str">
        <f t="shared" si="15"/>
        <v>Month 8</v>
      </c>
      <c r="L29" s="529" t="str">
        <f t="shared" si="15"/>
        <v>Month 9</v>
      </c>
      <c r="M29" s="529" t="str">
        <f t="shared" si="15"/>
        <v>Month 10</v>
      </c>
      <c r="N29" s="529" t="str">
        <f t="shared" si="15"/>
        <v>Month 11</v>
      </c>
      <c r="O29" s="529" t="str">
        <f t="shared" si="15"/>
        <v>Month 12</v>
      </c>
      <c r="P29" s="1152"/>
      <c r="Q29" s="1155"/>
      <c r="R29" s="525" t="str">
        <f>R22</f>
        <v>Month 1</v>
      </c>
      <c r="S29" s="525" t="str">
        <f t="shared" ref="S29:AC29" si="16">S22</f>
        <v>Month 2</v>
      </c>
      <c r="T29" s="525" t="str">
        <f t="shared" si="16"/>
        <v>Month 3</v>
      </c>
      <c r="U29" s="525" t="str">
        <f t="shared" si="16"/>
        <v>Month 4</v>
      </c>
      <c r="V29" s="525" t="str">
        <f t="shared" si="16"/>
        <v>Month 5</v>
      </c>
      <c r="W29" s="525" t="str">
        <f t="shared" si="16"/>
        <v>Month 6</v>
      </c>
      <c r="X29" s="525" t="str">
        <f t="shared" si="16"/>
        <v>Month 7</v>
      </c>
      <c r="Y29" s="525" t="str">
        <f t="shared" si="16"/>
        <v>Month 8</v>
      </c>
      <c r="Z29" s="525" t="str">
        <f t="shared" si="16"/>
        <v>Month 9</v>
      </c>
      <c r="AA29" s="525" t="str">
        <f t="shared" si="16"/>
        <v>Month 10</v>
      </c>
      <c r="AB29" s="525" t="str">
        <f t="shared" si="16"/>
        <v>Month 11</v>
      </c>
      <c r="AC29" s="525" t="str">
        <f t="shared" si="16"/>
        <v>Month 12</v>
      </c>
      <c r="AD29" s="1132"/>
      <c r="AE29" s="1130"/>
      <c r="AF29" s="1130"/>
      <c r="AG29" s="1130"/>
      <c r="AH29" s="1130"/>
      <c r="AI29" s="1134"/>
      <c r="AJ29" s="1130"/>
      <c r="AK29" s="1130"/>
      <c r="AL29" s="105"/>
      <c r="AM29" s="105"/>
      <c r="AN29" s="105"/>
      <c r="AO29" s="105"/>
      <c r="AP29" s="105"/>
      <c r="AQ29" s="105"/>
      <c r="AR29" s="105"/>
      <c r="AS29" s="105"/>
      <c r="AT29" s="106"/>
    </row>
    <row r="30" spans="1:46" ht="12.75" thickBot="1">
      <c r="B30" s="121" t="s">
        <v>232</v>
      </c>
      <c r="C30" s="123" t="str">
        <f>B23</f>
        <v>Skilled Workers</v>
      </c>
      <c r="D30" s="110">
        <f>ROUND('Production Assumptions'!$I$31,0)</f>
        <v>0</v>
      </c>
      <c r="E30" s="110">
        <f>ROUND('Production Assumptions'!$I$31,0)</f>
        <v>0</v>
      </c>
      <c r="F30" s="110">
        <f>ROUND('Production Assumptions'!$I$31,0)</f>
        <v>0</v>
      </c>
      <c r="G30" s="110">
        <f>ROUND('Production Assumptions'!$I$31,0)</f>
        <v>0</v>
      </c>
      <c r="H30" s="110">
        <f>ROUND('Production Assumptions'!$I$31,0)</f>
        <v>0</v>
      </c>
      <c r="I30" s="110">
        <f>ROUND('Production Assumptions'!$I$31,0)</f>
        <v>0</v>
      </c>
      <c r="J30" s="110">
        <f>ROUND('Production Assumptions'!$I$31,0)</f>
        <v>0</v>
      </c>
      <c r="K30" s="110">
        <f>ROUND('Production Assumptions'!$I$31,0)</f>
        <v>0</v>
      </c>
      <c r="L30" s="110">
        <f>ROUND('Production Assumptions'!$I$31,0)</f>
        <v>0</v>
      </c>
      <c r="M30" s="110">
        <f>ROUND('Production Assumptions'!$I$31,0)</f>
        <v>0</v>
      </c>
      <c r="N30" s="110">
        <f>ROUND('Production Assumptions'!$I$31,0)</f>
        <v>0</v>
      </c>
      <c r="O30" s="110">
        <f>ROUND('Production Assumptions'!$I$31,0)</f>
        <v>0</v>
      </c>
      <c r="P30" s="142">
        <f>O30</f>
        <v>0</v>
      </c>
      <c r="Q30" s="142">
        <f>AC30</f>
        <v>0</v>
      </c>
      <c r="R30" s="110">
        <f>ROUND('Production Assumptions'!$I$31,0)</f>
        <v>0</v>
      </c>
      <c r="S30" s="110">
        <f>ROUND('Production Assumptions'!$I$31,0)</f>
        <v>0</v>
      </c>
      <c r="T30" s="110">
        <f>ROUND('Production Assumptions'!$I$31,0)</f>
        <v>0</v>
      </c>
      <c r="U30" s="110">
        <f>ROUND('Production Assumptions'!$I$31,0)</f>
        <v>0</v>
      </c>
      <c r="V30" s="110">
        <f>ROUND('Production Assumptions'!$I$31,0)</f>
        <v>0</v>
      </c>
      <c r="W30" s="110">
        <f>ROUND('Production Assumptions'!$I$31,0)</f>
        <v>0</v>
      </c>
      <c r="X30" s="110">
        <f>ROUND('Production Assumptions'!$I$31,0)</f>
        <v>0</v>
      </c>
      <c r="Y30" s="110">
        <f>ROUND('Production Assumptions'!$I$31,0)</f>
        <v>0</v>
      </c>
      <c r="Z30" s="110">
        <f>ROUND('Production Assumptions'!$I$31,0)</f>
        <v>0</v>
      </c>
      <c r="AA30" s="110">
        <f>ROUND('Production Assumptions'!$I$31,0)</f>
        <v>0</v>
      </c>
      <c r="AB30" s="110">
        <f>ROUND('Production Assumptions'!$I$31,0)</f>
        <v>0</v>
      </c>
      <c r="AC30" s="110">
        <f>ROUND('Production Assumptions'!$I$31,0)</f>
        <v>0</v>
      </c>
      <c r="AD30" s="142">
        <f>AC30</f>
        <v>0</v>
      </c>
      <c r="AE30" s="142">
        <f t="shared" ref="AE30:AK30" si="17">AD30</f>
        <v>0</v>
      </c>
      <c r="AF30" s="142">
        <f t="shared" si="17"/>
        <v>0</v>
      </c>
      <c r="AG30" s="142">
        <f t="shared" si="17"/>
        <v>0</v>
      </c>
      <c r="AH30" s="142">
        <f t="shared" si="17"/>
        <v>0</v>
      </c>
      <c r="AI30" s="142">
        <f t="shared" si="17"/>
        <v>0</v>
      </c>
      <c r="AJ30" s="142">
        <f t="shared" si="17"/>
        <v>0</v>
      </c>
      <c r="AK30" s="142">
        <f t="shared" si="17"/>
        <v>0</v>
      </c>
      <c r="AL30" s="105"/>
      <c r="AM30" s="105"/>
      <c r="AN30" s="105"/>
      <c r="AO30" s="105"/>
      <c r="AP30" s="105"/>
      <c r="AQ30" s="105"/>
      <c r="AR30" s="105"/>
      <c r="AS30" s="105"/>
      <c r="AT30" s="106"/>
    </row>
    <row r="31" spans="1:46" ht="12.75" thickBot="1">
      <c r="B31" s="121" t="s">
        <v>233</v>
      </c>
      <c r="C31" s="122" t="str">
        <f>B24</f>
        <v>Medium Skilled</v>
      </c>
      <c r="D31" s="110" t="e">
        <f>ROUND('Production Assumptions'!$I$32,0)</f>
        <v>#VALUE!</v>
      </c>
      <c r="E31" s="110" t="e">
        <f>ROUND('Production Assumptions'!$I$32,0)</f>
        <v>#VALUE!</v>
      </c>
      <c r="F31" s="110" t="e">
        <f>ROUND('Production Assumptions'!$I$32,0)</f>
        <v>#VALUE!</v>
      </c>
      <c r="G31" s="110" t="e">
        <f>ROUND('Production Assumptions'!$I$32,0)</f>
        <v>#VALUE!</v>
      </c>
      <c r="H31" s="110" t="e">
        <f>ROUND('Production Assumptions'!$I$32,0)</f>
        <v>#VALUE!</v>
      </c>
      <c r="I31" s="110" t="e">
        <f>ROUND('Production Assumptions'!$I$32,0)</f>
        <v>#VALUE!</v>
      </c>
      <c r="J31" s="110" t="e">
        <f>ROUND('Production Assumptions'!$I$32,0)</f>
        <v>#VALUE!</v>
      </c>
      <c r="K31" s="110" t="e">
        <f>ROUND('Production Assumptions'!$I$32,0)</f>
        <v>#VALUE!</v>
      </c>
      <c r="L31" s="110" t="e">
        <f>ROUND('Production Assumptions'!$I$32,0)</f>
        <v>#VALUE!</v>
      </c>
      <c r="M31" s="110" t="e">
        <f>ROUND('Production Assumptions'!$I$32,0)</f>
        <v>#VALUE!</v>
      </c>
      <c r="N31" s="110" t="e">
        <f>ROUND('Production Assumptions'!$I$32,0)</f>
        <v>#VALUE!</v>
      </c>
      <c r="O31" s="110" t="e">
        <f>ROUND('Production Assumptions'!$I$32,0)</f>
        <v>#VALUE!</v>
      </c>
      <c r="P31" s="142" t="e">
        <f>O31</f>
        <v>#VALUE!</v>
      </c>
      <c r="Q31" s="142" t="e">
        <f>AC31</f>
        <v>#VALUE!</v>
      </c>
      <c r="R31" s="110" t="e">
        <f>ROUND('Production Assumptions'!$I$32,0)</f>
        <v>#VALUE!</v>
      </c>
      <c r="S31" s="110" t="e">
        <f>ROUND('Production Assumptions'!$I$32,0)</f>
        <v>#VALUE!</v>
      </c>
      <c r="T31" s="110" t="e">
        <f>ROUND('Production Assumptions'!$I$32,0)</f>
        <v>#VALUE!</v>
      </c>
      <c r="U31" s="110" t="e">
        <f>ROUND('Production Assumptions'!$I$32,0)</f>
        <v>#VALUE!</v>
      </c>
      <c r="V31" s="110" t="e">
        <f>ROUND('Production Assumptions'!$I$32,0)</f>
        <v>#VALUE!</v>
      </c>
      <c r="W31" s="110" t="e">
        <f>ROUND('Production Assumptions'!$I$32,0)</f>
        <v>#VALUE!</v>
      </c>
      <c r="X31" s="110" t="e">
        <f>ROUND('Production Assumptions'!$I$32,0)</f>
        <v>#VALUE!</v>
      </c>
      <c r="Y31" s="110" t="e">
        <f>ROUND('Production Assumptions'!$I$32,0)</f>
        <v>#VALUE!</v>
      </c>
      <c r="Z31" s="110" t="e">
        <f>ROUND('Production Assumptions'!$I$32,0)</f>
        <v>#VALUE!</v>
      </c>
      <c r="AA31" s="110" t="e">
        <f>ROUND('Production Assumptions'!$I$32,0)</f>
        <v>#VALUE!</v>
      </c>
      <c r="AB31" s="110" t="e">
        <f>ROUND('Production Assumptions'!$I$32,0)</f>
        <v>#VALUE!</v>
      </c>
      <c r="AC31" s="110" t="e">
        <f>ROUND('Production Assumptions'!$I$32,0)</f>
        <v>#VALUE!</v>
      </c>
      <c r="AD31" s="142" t="e">
        <f>AC31</f>
        <v>#VALUE!</v>
      </c>
      <c r="AE31" s="142" t="e">
        <f t="shared" ref="AE31:AK31" si="18">AD31</f>
        <v>#VALUE!</v>
      </c>
      <c r="AF31" s="142" t="e">
        <f t="shared" si="18"/>
        <v>#VALUE!</v>
      </c>
      <c r="AG31" s="142" t="e">
        <f t="shared" si="18"/>
        <v>#VALUE!</v>
      </c>
      <c r="AH31" s="142" t="e">
        <f t="shared" si="18"/>
        <v>#VALUE!</v>
      </c>
      <c r="AI31" s="142" t="e">
        <f t="shared" si="18"/>
        <v>#VALUE!</v>
      </c>
      <c r="AJ31" s="142" t="e">
        <f t="shared" si="18"/>
        <v>#VALUE!</v>
      </c>
      <c r="AK31" s="142" t="e">
        <f t="shared" si="18"/>
        <v>#VALUE!</v>
      </c>
      <c r="AL31" s="105"/>
      <c r="AM31" s="105"/>
      <c r="AN31" s="111"/>
      <c r="AO31" s="105"/>
      <c r="AP31" s="105"/>
      <c r="AQ31" s="105"/>
      <c r="AR31" s="105"/>
      <c r="AS31" s="105"/>
      <c r="AT31" s="106"/>
    </row>
    <row r="32" spans="1:46" ht="12.75" thickBot="1">
      <c r="B32" s="121" t="s">
        <v>233</v>
      </c>
      <c r="C32" s="122" t="str">
        <f>B25</f>
        <v>Low Skilled</v>
      </c>
      <c r="D32" s="110">
        <f>ROUND('Production Assumptions'!$I$33,0)</f>
        <v>1</v>
      </c>
      <c r="E32" s="110">
        <f>ROUND('Production Assumptions'!$I$33,0)</f>
        <v>1</v>
      </c>
      <c r="F32" s="110">
        <f>ROUND('Production Assumptions'!$I$33,0)</f>
        <v>1</v>
      </c>
      <c r="G32" s="110">
        <f>ROUND('Production Assumptions'!$I$33,0)</f>
        <v>1</v>
      </c>
      <c r="H32" s="110">
        <f>ROUND('Production Assumptions'!$I$33,0)</f>
        <v>1</v>
      </c>
      <c r="I32" s="110">
        <f>ROUND('Production Assumptions'!$I$33,0)</f>
        <v>1</v>
      </c>
      <c r="J32" s="110">
        <f>ROUND('Production Assumptions'!$I$33,0)</f>
        <v>1</v>
      </c>
      <c r="K32" s="110">
        <f>ROUND('Production Assumptions'!$I$33,0)</f>
        <v>1</v>
      </c>
      <c r="L32" s="110">
        <f>ROUND('Production Assumptions'!$I$33,0)</f>
        <v>1</v>
      </c>
      <c r="M32" s="110">
        <f>ROUND('Production Assumptions'!$I$33,0)</f>
        <v>1</v>
      </c>
      <c r="N32" s="110">
        <f>ROUND('Production Assumptions'!$I$33,0)</f>
        <v>1</v>
      </c>
      <c r="O32" s="110">
        <f>ROUND('Production Assumptions'!$I$33,0)</f>
        <v>1</v>
      </c>
      <c r="P32" s="142">
        <f>O32</f>
        <v>1</v>
      </c>
      <c r="Q32" s="142">
        <f>AC32</f>
        <v>1</v>
      </c>
      <c r="R32" s="110">
        <f>ROUND('Production Assumptions'!$I$33,0)</f>
        <v>1</v>
      </c>
      <c r="S32" s="110">
        <f>ROUND('Production Assumptions'!$I$33,0)</f>
        <v>1</v>
      </c>
      <c r="T32" s="110">
        <f>ROUND('Production Assumptions'!$I$33,0)</f>
        <v>1</v>
      </c>
      <c r="U32" s="110">
        <f>ROUND('Production Assumptions'!$I$33,0)</f>
        <v>1</v>
      </c>
      <c r="V32" s="110">
        <f>ROUND('Production Assumptions'!$I$33,0)</f>
        <v>1</v>
      </c>
      <c r="W32" s="110">
        <f>ROUND('Production Assumptions'!$I$33,0)</f>
        <v>1</v>
      </c>
      <c r="X32" s="110">
        <f>ROUND('Production Assumptions'!$I$33,0)</f>
        <v>1</v>
      </c>
      <c r="Y32" s="110">
        <f>ROUND('Production Assumptions'!$I$33,0)</f>
        <v>1</v>
      </c>
      <c r="Z32" s="110">
        <f>ROUND('Production Assumptions'!$I$33,0)</f>
        <v>1</v>
      </c>
      <c r="AA32" s="110">
        <f>ROUND('Production Assumptions'!$I$33,0)</f>
        <v>1</v>
      </c>
      <c r="AB32" s="110">
        <f>ROUND('Production Assumptions'!$I$33,0)</f>
        <v>1</v>
      </c>
      <c r="AC32" s="110">
        <f>ROUND('Production Assumptions'!$I$33,0)</f>
        <v>1</v>
      </c>
      <c r="AD32" s="142">
        <f>AC32</f>
        <v>1</v>
      </c>
      <c r="AE32" s="142">
        <f t="shared" ref="AE32:AK32" si="19">AD32</f>
        <v>1</v>
      </c>
      <c r="AF32" s="142">
        <f t="shared" si="19"/>
        <v>1</v>
      </c>
      <c r="AG32" s="142">
        <f t="shared" si="19"/>
        <v>1</v>
      </c>
      <c r="AH32" s="142">
        <f t="shared" si="19"/>
        <v>1</v>
      </c>
      <c r="AI32" s="142">
        <f t="shared" si="19"/>
        <v>1</v>
      </c>
      <c r="AJ32" s="142">
        <f t="shared" si="19"/>
        <v>1</v>
      </c>
      <c r="AK32" s="142">
        <f t="shared" si="19"/>
        <v>1</v>
      </c>
      <c r="AL32" s="105"/>
      <c r="AM32" s="105"/>
      <c r="AN32" s="105"/>
      <c r="AO32" s="105"/>
      <c r="AP32" s="105"/>
      <c r="AQ32" s="105"/>
      <c r="AR32" s="105"/>
      <c r="AS32" s="105"/>
      <c r="AT32" s="106"/>
    </row>
    <row r="33" spans="1:46" s="105" customFormat="1" ht="12.75" thickBot="1">
      <c r="A33" s="103"/>
      <c r="B33" s="116" t="s">
        <v>234</v>
      </c>
      <c r="C33" s="117"/>
      <c r="D33" s="118" t="e">
        <f>'Production Assumptions'!I34</f>
        <v>#VALUE!</v>
      </c>
      <c r="E33" s="118" t="e">
        <f t="shared" ref="E33:AC33" si="20">SUM(E30:E32)</f>
        <v>#VALUE!</v>
      </c>
      <c r="F33" s="118" t="e">
        <f t="shared" si="20"/>
        <v>#VALUE!</v>
      </c>
      <c r="G33" s="118" t="e">
        <f t="shared" si="20"/>
        <v>#VALUE!</v>
      </c>
      <c r="H33" s="118" t="e">
        <f t="shared" si="20"/>
        <v>#VALUE!</v>
      </c>
      <c r="I33" s="118" t="e">
        <f t="shared" si="20"/>
        <v>#VALUE!</v>
      </c>
      <c r="J33" s="118" t="e">
        <f t="shared" si="20"/>
        <v>#VALUE!</v>
      </c>
      <c r="K33" s="118" t="e">
        <f t="shared" si="20"/>
        <v>#VALUE!</v>
      </c>
      <c r="L33" s="118" t="e">
        <f t="shared" si="20"/>
        <v>#VALUE!</v>
      </c>
      <c r="M33" s="118" t="e">
        <f t="shared" si="20"/>
        <v>#VALUE!</v>
      </c>
      <c r="N33" s="118" t="e">
        <f t="shared" si="20"/>
        <v>#VALUE!</v>
      </c>
      <c r="O33" s="118" t="e">
        <f t="shared" si="20"/>
        <v>#VALUE!</v>
      </c>
      <c r="P33" s="115" t="e">
        <f>SUM(P30:P32)</f>
        <v>#VALUE!</v>
      </c>
      <c r="Q33" s="115" t="e">
        <f>SUM(Q30:Q32)</f>
        <v>#VALUE!</v>
      </c>
      <c r="R33" s="521" t="e">
        <f t="shared" si="20"/>
        <v>#VALUE!</v>
      </c>
      <c r="S33" s="522" t="e">
        <f t="shared" si="20"/>
        <v>#VALUE!</v>
      </c>
      <c r="T33" s="522" t="e">
        <f t="shared" si="20"/>
        <v>#VALUE!</v>
      </c>
      <c r="U33" s="522" t="e">
        <f t="shared" si="20"/>
        <v>#VALUE!</v>
      </c>
      <c r="V33" s="522" t="e">
        <f t="shared" si="20"/>
        <v>#VALUE!</v>
      </c>
      <c r="W33" s="522" t="e">
        <f t="shared" si="20"/>
        <v>#VALUE!</v>
      </c>
      <c r="X33" s="522" t="e">
        <f t="shared" si="20"/>
        <v>#VALUE!</v>
      </c>
      <c r="Y33" s="522" t="e">
        <f t="shared" si="20"/>
        <v>#VALUE!</v>
      </c>
      <c r="Z33" s="522" t="e">
        <f t="shared" si="20"/>
        <v>#VALUE!</v>
      </c>
      <c r="AA33" s="522" t="e">
        <f t="shared" si="20"/>
        <v>#VALUE!</v>
      </c>
      <c r="AB33" s="522" t="e">
        <f t="shared" si="20"/>
        <v>#VALUE!</v>
      </c>
      <c r="AC33" s="523" t="e">
        <f t="shared" si="20"/>
        <v>#VALUE!</v>
      </c>
      <c r="AD33" s="119" t="e">
        <f t="shared" ref="AD33:AK33" si="21">SUM(AD30:AD32)</f>
        <v>#VALUE!</v>
      </c>
      <c r="AE33" s="119" t="e">
        <f t="shared" si="21"/>
        <v>#VALUE!</v>
      </c>
      <c r="AF33" s="119" t="e">
        <f t="shared" si="21"/>
        <v>#VALUE!</v>
      </c>
      <c r="AG33" s="119" t="e">
        <f t="shared" si="21"/>
        <v>#VALUE!</v>
      </c>
      <c r="AH33" s="119" t="e">
        <f t="shared" si="21"/>
        <v>#VALUE!</v>
      </c>
      <c r="AI33" s="119" t="e">
        <f t="shared" si="21"/>
        <v>#VALUE!</v>
      </c>
      <c r="AJ33" s="119" t="e">
        <f t="shared" si="21"/>
        <v>#VALUE!</v>
      </c>
      <c r="AK33" s="119" t="e">
        <f t="shared" si="21"/>
        <v>#VALUE!</v>
      </c>
      <c r="AL33" s="104"/>
      <c r="AT33" s="106"/>
    </row>
    <row r="34" spans="1:46" ht="12.75" thickBot="1"/>
    <row r="35" spans="1:46">
      <c r="B35" s="1141" t="s">
        <v>296</v>
      </c>
      <c r="C35" s="1142"/>
      <c r="D35" s="1142"/>
      <c r="E35" s="1142"/>
      <c r="F35" s="1142"/>
      <c r="G35" s="1142"/>
      <c r="H35" s="1142"/>
      <c r="I35" s="1142"/>
      <c r="J35" s="1143"/>
    </row>
    <row r="36" spans="1:46">
      <c r="B36" s="104"/>
      <c r="C36" s="105"/>
      <c r="D36" s="105"/>
      <c r="E36" s="105"/>
      <c r="F36" s="105"/>
      <c r="G36" s="105"/>
      <c r="H36" s="105"/>
      <c r="I36" s="105"/>
      <c r="J36" s="106"/>
    </row>
    <row r="37" spans="1:46">
      <c r="B37" s="104"/>
      <c r="C37" s="157"/>
      <c r="D37" s="157" t="s">
        <v>12</v>
      </c>
      <c r="E37" s="105"/>
      <c r="F37" s="105"/>
      <c r="G37" s="105"/>
      <c r="H37" s="105"/>
      <c r="I37" s="105"/>
      <c r="J37" s="106"/>
    </row>
    <row r="38" spans="1:46" ht="15">
      <c r="B38" s="104"/>
      <c r="C38" s="279" t="s">
        <v>56</v>
      </c>
      <c r="D38" s="280" t="e">
        <f>C10</f>
        <v>#VALUE!</v>
      </c>
      <c r="E38" s="105"/>
      <c r="F38" s="105"/>
      <c r="G38" s="105"/>
      <c r="H38" s="105"/>
      <c r="I38" s="105"/>
      <c r="J38" s="106"/>
    </row>
    <row r="39" spans="1:46" ht="15">
      <c r="B39" s="104"/>
      <c r="C39" s="279" t="s">
        <v>27</v>
      </c>
      <c r="D39" s="280" t="e">
        <f>C26</f>
        <v>#VALUE!</v>
      </c>
      <c r="E39" s="105"/>
      <c r="F39" s="105"/>
      <c r="G39" s="105"/>
      <c r="H39" s="105"/>
      <c r="I39" s="105"/>
      <c r="J39" s="106"/>
    </row>
    <row r="40" spans="1:46" ht="12.75" thickBot="1">
      <c r="B40" s="154"/>
      <c r="C40" s="155"/>
      <c r="D40" s="155"/>
      <c r="E40" s="155"/>
      <c r="F40" s="155"/>
      <c r="G40" s="155"/>
      <c r="H40" s="155"/>
      <c r="I40" s="155"/>
      <c r="J40" s="156"/>
    </row>
  </sheetData>
  <mergeCells count="32">
    <mergeCell ref="B3:AT3"/>
    <mergeCell ref="B19:AT19"/>
    <mergeCell ref="B35:J35"/>
    <mergeCell ref="E5:P5"/>
    <mergeCell ref="R5:AC5"/>
    <mergeCell ref="D12:O12"/>
    <mergeCell ref="R12:AC12"/>
    <mergeCell ref="E21:P21"/>
    <mergeCell ref="R21:AC21"/>
    <mergeCell ref="Q12:Q13"/>
    <mergeCell ref="P12:P13"/>
    <mergeCell ref="AE12:AE13"/>
    <mergeCell ref="D28:O28"/>
    <mergeCell ref="R28:AC28"/>
    <mergeCell ref="Q28:Q29"/>
    <mergeCell ref="P28:P29"/>
    <mergeCell ref="AJ12:AJ13"/>
    <mergeCell ref="AK12:AK13"/>
    <mergeCell ref="AK28:AK29"/>
    <mergeCell ref="AJ28:AJ29"/>
    <mergeCell ref="A1:XFD1"/>
    <mergeCell ref="AD12:AD13"/>
    <mergeCell ref="AI28:AI29"/>
    <mergeCell ref="AH28:AH29"/>
    <mergeCell ref="AG28:AG29"/>
    <mergeCell ref="AF28:AF29"/>
    <mergeCell ref="AE28:AE29"/>
    <mergeCell ref="AD28:AD29"/>
    <mergeCell ref="AI12:AI13"/>
    <mergeCell ref="AG12:AG13"/>
    <mergeCell ref="AH12:AH13"/>
    <mergeCell ref="AF12:AF1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64A5D-5671-4945-906F-6F2D528161E6}">
  <sheetPr>
    <tabColor rgb="FFFFFF00"/>
  </sheetPr>
  <dimension ref="A1:S19"/>
  <sheetViews>
    <sheetView topLeftCell="A4" workbookViewId="0">
      <selection activeCell="G19" sqref="G19"/>
    </sheetView>
  </sheetViews>
  <sheetFormatPr defaultColWidth="8.85546875" defaultRowHeight="15"/>
  <cols>
    <col min="1" max="1" width="23" style="355" customWidth="1"/>
    <col min="2" max="3" width="8.85546875" style="354"/>
    <col min="4" max="4" width="10.5703125" style="354" bestFit="1" customWidth="1"/>
    <col min="5" max="11" width="8.85546875" style="354"/>
    <col min="12" max="14" width="9.140625" style="354" bestFit="1" customWidth="1"/>
    <col min="15" max="16" width="9.140625" style="349" bestFit="1" customWidth="1"/>
    <col min="17" max="17" width="11" style="349" bestFit="1" customWidth="1"/>
    <col min="18" max="16384" width="8.85546875" style="349"/>
  </cols>
  <sheetData>
    <row r="1" spans="1:19" s="1156" customFormat="1">
      <c r="A1" s="1156" t="s">
        <v>426</v>
      </c>
      <c r="G1" s="1157"/>
      <c r="H1" s="1158"/>
      <c r="I1" s="1158"/>
      <c r="J1" s="1159"/>
    </row>
    <row r="3" spans="1:19" s="345" customFormat="1">
      <c r="A3" s="342" t="s">
        <v>344</v>
      </c>
      <c r="B3" s="343"/>
      <c r="C3" s="343"/>
      <c r="D3" s="343"/>
      <c r="E3" s="343"/>
      <c r="F3" s="343"/>
      <c r="G3" s="343"/>
      <c r="H3" s="343"/>
      <c r="I3" s="343"/>
      <c r="J3" s="343"/>
      <c r="K3" s="343"/>
      <c r="L3" s="343"/>
      <c r="M3" s="343"/>
      <c r="N3" s="343"/>
      <c r="O3" s="344"/>
      <c r="P3" s="344"/>
      <c r="Q3" s="344"/>
      <c r="R3" s="344"/>
      <c r="S3" s="344"/>
    </row>
    <row r="4" spans="1:19">
      <c r="A4" s="346" t="s">
        <v>345</v>
      </c>
      <c r="B4" s="347"/>
      <c r="C4" s="347"/>
      <c r="D4" s="347"/>
      <c r="E4" s="347"/>
      <c r="F4" s="347"/>
      <c r="G4" s="347"/>
      <c r="H4" s="347"/>
      <c r="I4" s="347"/>
      <c r="J4" s="347"/>
      <c r="K4" s="347"/>
      <c r="L4" s="347"/>
      <c r="M4" s="347"/>
      <c r="N4" s="347"/>
      <c r="O4" s="348"/>
      <c r="P4" s="348"/>
      <c r="Q4" s="348"/>
      <c r="R4" s="348"/>
      <c r="S4" s="348"/>
    </row>
    <row r="5" spans="1:19">
      <c r="A5" s="346"/>
      <c r="B5" s="347" t="s">
        <v>346</v>
      </c>
      <c r="C5" s="347"/>
      <c r="D5" s="347"/>
      <c r="E5" s="347"/>
      <c r="F5" s="347"/>
      <c r="G5" s="347"/>
      <c r="H5" s="347"/>
      <c r="I5" s="347"/>
      <c r="J5" s="347"/>
      <c r="K5" s="347"/>
      <c r="L5" s="347"/>
      <c r="M5" s="347"/>
      <c r="N5" s="347"/>
      <c r="O5" s="348"/>
      <c r="P5" s="348"/>
      <c r="Q5" s="348"/>
      <c r="R5" s="348"/>
      <c r="S5" s="348"/>
    </row>
    <row r="6" spans="1:19">
      <c r="A6" s="346" t="s">
        <v>347</v>
      </c>
      <c r="B6" s="347">
        <f>100/3</f>
        <v>33.333333333333336</v>
      </c>
      <c r="C6" s="347"/>
      <c r="D6" s="347"/>
      <c r="E6" s="347"/>
      <c r="F6" s="347"/>
      <c r="G6" s="347"/>
      <c r="H6" s="347"/>
      <c r="I6" s="347"/>
      <c r="J6" s="347"/>
      <c r="K6" s="347"/>
      <c r="L6" s="347"/>
      <c r="M6" s="347"/>
      <c r="N6" s="347"/>
      <c r="O6" s="348"/>
      <c r="P6" s="348"/>
      <c r="Q6" s="348"/>
      <c r="R6" s="348"/>
      <c r="S6" s="348"/>
    </row>
    <row r="7" spans="1:19">
      <c r="A7" s="346"/>
      <c r="B7" s="347"/>
      <c r="C7" s="347"/>
      <c r="D7" s="347"/>
      <c r="E7" s="347"/>
      <c r="F7" s="347"/>
      <c r="G7" s="347"/>
      <c r="H7" s="347"/>
      <c r="I7" s="347"/>
      <c r="J7" s="347"/>
      <c r="K7" s="347"/>
      <c r="L7" s="347"/>
      <c r="M7" s="347"/>
      <c r="N7" s="347"/>
      <c r="O7" s="348"/>
      <c r="P7" s="348"/>
      <c r="Q7" s="348"/>
      <c r="R7" s="348"/>
      <c r="S7" s="348"/>
    </row>
    <row r="8" spans="1:19" s="353" customFormat="1">
      <c r="A8" s="350" t="s">
        <v>358</v>
      </c>
      <c r="B8" s="351"/>
      <c r="C8" s="351"/>
      <c r="D8" s="351"/>
      <c r="E8" s="351"/>
      <c r="F8" s="351"/>
      <c r="G8" s="351"/>
      <c r="H8" s="351"/>
      <c r="I8" s="351"/>
      <c r="J8" s="351"/>
      <c r="K8" s="351"/>
      <c r="L8" s="351"/>
      <c r="M8" s="351"/>
      <c r="N8" s="351"/>
      <c r="O8" s="352"/>
      <c r="P8" s="352"/>
      <c r="Q8" s="352"/>
      <c r="R8" s="352"/>
      <c r="S8" s="352"/>
    </row>
    <row r="9" spans="1:19">
      <c r="A9" s="346" t="s">
        <v>348</v>
      </c>
      <c r="B9" s="347"/>
      <c r="C9" s="347"/>
      <c r="D9" s="347"/>
      <c r="E9" s="347"/>
      <c r="F9" s="347"/>
      <c r="G9" s="347"/>
      <c r="H9" s="347"/>
      <c r="I9" s="347"/>
      <c r="J9" s="347"/>
      <c r="K9" s="347"/>
      <c r="L9" s="347"/>
      <c r="M9" s="347"/>
      <c r="N9" s="347"/>
      <c r="O9" s="348"/>
      <c r="P9" s="348"/>
      <c r="Q9" s="348"/>
      <c r="R9" s="348"/>
      <c r="S9" s="348"/>
    </row>
    <row r="10" spans="1:19">
      <c r="A10" s="346" t="s">
        <v>349</v>
      </c>
      <c r="B10" s="347"/>
      <c r="C10" s="347"/>
      <c r="D10" s="347"/>
      <c r="E10" s="347"/>
      <c r="F10" s="347"/>
      <c r="G10" s="347"/>
      <c r="H10" s="347"/>
      <c r="I10" s="347"/>
      <c r="J10" s="347"/>
      <c r="K10" s="347"/>
      <c r="L10" s="347"/>
      <c r="M10" s="347"/>
      <c r="N10" s="347"/>
      <c r="O10" s="348"/>
      <c r="P10" s="348"/>
      <c r="Q10" s="348"/>
      <c r="R10" s="348"/>
      <c r="S10" s="348"/>
    </row>
    <row r="11" spans="1:19" ht="15.75" thickBot="1">
      <c r="A11" s="346"/>
      <c r="B11" s="347"/>
      <c r="C11" s="347"/>
      <c r="D11" s="347" t="str">
        <f>Interface!$J$7</f>
        <v>&lt;Select number of fish to produce per annum&gt;</v>
      </c>
      <c r="E11" s="347"/>
      <c r="F11" s="347"/>
      <c r="G11" s="347"/>
      <c r="H11" s="347"/>
      <c r="I11" s="347"/>
      <c r="J11" s="347"/>
      <c r="K11" s="347"/>
      <c r="L11" s="347"/>
      <c r="M11" s="347"/>
      <c r="N11" s="347"/>
      <c r="O11" s="348"/>
      <c r="P11" s="348"/>
      <c r="Q11" s="348"/>
      <c r="R11" s="348"/>
      <c r="S11" s="348"/>
    </row>
    <row r="12" spans="1:19">
      <c r="A12" s="1053" t="s">
        <v>451</v>
      </c>
      <c r="B12" s="1054"/>
      <c r="C12" s="1054"/>
      <c r="D12" s="1055"/>
      <c r="E12" s="347"/>
      <c r="F12" s="347"/>
      <c r="G12" s="347"/>
      <c r="H12" s="347"/>
      <c r="I12" s="347"/>
      <c r="J12" s="347"/>
      <c r="K12" s="347"/>
    </row>
    <row r="13" spans="1:19" ht="15.75" thickBot="1">
      <c r="A13" s="1056" t="s">
        <v>452</v>
      </c>
      <c r="B13" s="911"/>
      <c r="C13" s="911"/>
      <c r="D13" s="1057">
        <v>75</v>
      </c>
    </row>
    <row r="14" spans="1:19">
      <c r="A14" s="1056" t="s">
        <v>350</v>
      </c>
      <c r="B14" s="911"/>
      <c r="C14" s="911"/>
      <c r="D14" s="1058" t="e">
        <f>'FEED and BIOMASS'!C18/30</f>
        <v>#VALUE!</v>
      </c>
      <c r="J14" s="919" t="s">
        <v>455</v>
      </c>
      <c r="K14" s="920"/>
      <c r="L14" s="921">
        <v>1000</v>
      </c>
      <c r="M14" s="922">
        <v>3000</v>
      </c>
      <c r="N14" s="923">
        <v>5000</v>
      </c>
      <c r="O14" s="923">
        <v>8000</v>
      </c>
      <c r="P14" s="923">
        <v>10000</v>
      </c>
      <c r="Q14" s="924">
        <v>100000</v>
      </c>
    </row>
    <row r="15" spans="1:19">
      <c r="A15" s="1056" t="s">
        <v>351</v>
      </c>
      <c r="B15" s="911"/>
      <c r="C15" s="911"/>
      <c r="D15" s="1057" t="e">
        <f>D14*D13</f>
        <v>#VALUE!</v>
      </c>
      <c r="J15" s="925" t="s">
        <v>337</v>
      </c>
      <c r="K15" s="926"/>
      <c r="L15" s="914">
        <v>1</v>
      </c>
      <c r="M15" s="914">
        <v>1</v>
      </c>
      <c r="N15" s="914">
        <v>1</v>
      </c>
      <c r="O15" s="914">
        <v>5.4</v>
      </c>
      <c r="P15" s="914">
        <v>5.4</v>
      </c>
      <c r="Q15" s="927">
        <v>5.4</v>
      </c>
    </row>
    <row r="16" spans="1:19">
      <c r="A16" s="1056" t="s">
        <v>352</v>
      </c>
      <c r="B16" s="911"/>
      <c r="C16" s="911"/>
      <c r="D16" s="1059" t="e">
        <f>D15/800</f>
        <v>#VALUE!</v>
      </c>
      <c r="J16" s="925" t="s">
        <v>456</v>
      </c>
      <c r="K16" s="926"/>
      <c r="L16" s="914">
        <v>1.3</v>
      </c>
      <c r="M16" s="914">
        <v>1.3</v>
      </c>
      <c r="N16" s="914">
        <v>1.3</v>
      </c>
      <c r="O16" s="914">
        <v>2.5</v>
      </c>
      <c r="P16" s="914">
        <v>2.5</v>
      </c>
      <c r="Q16" s="927">
        <v>2.5</v>
      </c>
    </row>
    <row r="17" spans="1:17">
      <c r="A17" s="1056" t="s">
        <v>353</v>
      </c>
      <c r="B17" s="912"/>
      <c r="C17" s="912"/>
      <c r="D17" s="1059" t="e">
        <f>D16*1.1</f>
        <v>#VALUE!</v>
      </c>
      <c r="J17" s="925" t="s">
        <v>338</v>
      </c>
      <c r="K17" s="926"/>
      <c r="L17" s="913">
        <v>0.8</v>
      </c>
      <c r="M17" s="913">
        <v>0.8</v>
      </c>
      <c r="N17" s="913">
        <v>0.8</v>
      </c>
      <c r="O17" s="913">
        <v>1.1000000000000001</v>
      </c>
      <c r="P17" s="913">
        <v>1.1000000000000001</v>
      </c>
      <c r="Q17" s="549">
        <v>1.1000000000000001</v>
      </c>
    </row>
    <row r="18" spans="1:17">
      <c r="A18" s="1056" t="s">
        <v>453</v>
      </c>
      <c r="B18" s="912"/>
      <c r="C18" s="912"/>
      <c r="D18" s="1057">
        <f>IF(Interface!J7&lt;=1000,'Bio-Model'!L15,IF(Interface!J7&lt;=5000,N15,IF(Interface!J7&lt;=10000,O15,Q15)))</f>
        <v>5.4</v>
      </c>
      <c r="J18" s="925" t="s">
        <v>464</v>
      </c>
      <c r="K18" s="926"/>
      <c r="L18" s="913">
        <f t="shared" ref="L18:Q18" si="0">$D$18*(L16*2)</f>
        <v>14.040000000000001</v>
      </c>
      <c r="M18" s="913">
        <f t="shared" si="0"/>
        <v>14.040000000000001</v>
      </c>
      <c r="N18" s="913">
        <f t="shared" si="0"/>
        <v>14.040000000000001</v>
      </c>
      <c r="O18" s="913">
        <f t="shared" si="0"/>
        <v>27</v>
      </c>
      <c r="P18" s="913">
        <f t="shared" si="0"/>
        <v>27</v>
      </c>
      <c r="Q18" s="549">
        <f t="shared" si="0"/>
        <v>27</v>
      </c>
    </row>
    <row r="19" spans="1:17" ht="15.75" thickBot="1">
      <c r="A19" s="1060" t="s">
        <v>454</v>
      </c>
      <c r="B19" s="1061"/>
      <c r="C19" s="1061"/>
      <c r="D19" s="1062" t="e">
        <f>ROUNDUP(D17/D18,0)</f>
        <v>#VALUE!</v>
      </c>
      <c r="J19" s="928" t="s">
        <v>457</v>
      </c>
      <c r="K19" s="929"/>
      <c r="L19" s="930">
        <v>1100</v>
      </c>
      <c r="M19" s="930">
        <v>1100</v>
      </c>
      <c r="N19" s="930">
        <v>1100</v>
      </c>
      <c r="O19" s="930">
        <v>3400</v>
      </c>
      <c r="P19" s="930">
        <v>3400</v>
      </c>
      <c r="Q19" s="931">
        <v>3400</v>
      </c>
    </row>
  </sheetData>
  <mergeCells count="1">
    <mergeCell ref="A1:XFD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9ADD3-3C7F-4832-A25F-870014F371A5}">
  <sheetPr codeName="Sheet70">
    <tabColor rgb="FF002060"/>
    <pageSetUpPr fitToPage="1"/>
  </sheetPr>
  <dimension ref="A1:Q86"/>
  <sheetViews>
    <sheetView zoomScale="90" zoomScaleNormal="90" workbookViewId="0">
      <selection activeCell="E11" sqref="E11"/>
    </sheetView>
  </sheetViews>
  <sheetFormatPr defaultColWidth="9.140625" defaultRowHeight="12"/>
  <cols>
    <col min="1" max="1" width="2.140625" style="183" customWidth="1"/>
    <col min="2" max="2" width="75" style="183" bestFit="1" customWidth="1"/>
    <col min="3" max="3" width="15.5703125" style="183" customWidth="1"/>
    <col min="4" max="4" width="15.42578125" style="183" customWidth="1"/>
    <col min="5" max="5" width="15.5703125" style="183" bestFit="1" customWidth="1"/>
    <col min="6" max="6" width="15.5703125" style="183" customWidth="1"/>
    <col min="7" max="7" width="16.140625" style="183" bestFit="1" customWidth="1"/>
    <col min="8" max="8" width="32.85546875" style="183" bestFit="1" customWidth="1"/>
    <col min="9" max="9" width="18.140625" style="183" bestFit="1" customWidth="1"/>
    <col min="10" max="10" width="10.140625" style="47" bestFit="1" customWidth="1"/>
    <col min="11" max="11" width="56.5703125" style="183" bestFit="1" customWidth="1"/>
    <col min="12" max="12" width="18.140625" style="183" bestFit="1" customWidth="1"/>
    <col min="13" max="13" width="15.5703125" style="183" bestFit="1" customWidth="1"/>
    <col min="14" max="14" width="15.5703125" style="183" customWidth="1"/>
    <col min="15" max="15" width="16.140625" style="183" bestFit="1" customWidth="1"/>
    <col min="16" max="16" width="16.140625" style="183" customWidth="1"/>
    <col min="17" max="17" width="19.28515625" style="183" bestFit="1" customWidth="1"/>
    <col min="18" max="16384" width="9.140625" style="183"/>
  </cols>
  <sheetData>
    <row r="1" spans="1:17" s="1163" customFormat="1" ht="15">
      <c r="A1" s="1163" t="s">
        <v>428</v>
      </c>
    </row>
    <row r="2" spans="1:17" ht="12.75" thickBot="1"/>
    <row r="3" spans="1:17" ht="15.75" customHeight="1" thickBot="1">
      <c r="A3" s="46"/>
      <c r="B3" s="1160" t="s">
        <v>56</v>
      </c>
      <c r="C3" s="1161"/>
      <c r="D3" s="1161"/>
      <c r="E3" s="1161"/>
      <c r="F3" s="1161"/>
      <c r="G3" s="1161"/>
      <c r="H3" s="1161"/>
      <c r="I3" s="1162"/>
      <c r="J3" s="148"/>
      <c r="K3" s="1160" t="s">
        <v>277</v>
      </c>
      <c r="L3" s="1161"/>
      <c r="M3" s="1161"/>
      <c r="N3" s="1161"/>
      <c r="O3" s="1161"/>
      <c r="P3" s="1161"/>
      <c r="Q3" s="1162"/>
    </row>
    <row r="4" spans="1:17" ht="36.75" thickBot="1">
      <c r="B4" s="310" t="s">
        <v>126</v>
      </c>
      <c r="C4" s="311" t="s">
        <v>127</v>
      </c>
      <c r="D4" s="313" t="s">
        <v>576</v>
      </c>
      <c r="E4" s="313" t="s">
        <v>129</v>
      </c>
      <c r="F4" s="313" t="s">
        <v>288</v>
      </c>
      <c r="G4" s="311" t="s">
        <v>409</v>
      </c>
      <c r="H4" s="314" t="s">
        <v>128</v>
      </c>
      <c r="I4" s="312" t="s">
        <v>379</v>
      </c>
      <c r="K4" s="368" t="s">
        <v>126</v>
      </c>
      <c r="L4" s="369" t="s">
        <v>127</v>
      </c>
      <c r="M4" s="376" t="s">
        <v>129</v>
      </c>
      <c r="N4" s="376" t="s">
        <v>334</v>
      </c>
      <c r="O4" s="369" t="s">
        <v>8</v>
      </c>
      <c r="P4" s="377" t="s">
        <v>128</v>
      </c>
      <c r="Q4" s="370" t="s">
        <v>286</v>
      </c>
    </row>
    <row r="5" spans="1:17" ht="12.75" thickBot="1">
      <c r="B5" s="309" t="s">
        <v>402</v>
      </c>
      <c r="C5" s="273"/>
      <c r="D5" s="323"/>
      <c r="E5" s="323"/>
      <c r="F5" s="323"/>
      <c r="G5" s="274"/>
      <c r="H5" s="275"/>
      <c r="I5" s="276" t="e">
        <f>SUM(I6:I9)</f>
        <v>#VALUE!</v>
      </c>
      <c r="J5" s="183"/>
      <c r="K5" s="185" t="s">
        <v>9</v>
      </c>
      <c r="L5" s="381"/>
      <c r="M5" s="381"/>
      <c r="N5" s="381"/>
      <c r="O5" s="188"/>
      <c r="P5" s="379"/>
      <c r="Q5" s="186">
        <f>SUM(Q6:Q8)</f>
        <v>685790</v>
      </c>
    </row>
    <row r="6" spans="1:17">
      <c r="B6" s="315" t="s">
        <v>558</v>
      </c>
      <c r="C6" s="316">
        <f>IF(Interface!J7&lt;=25000,6*8,IF(Interface!J7&lt;=35000,8*8,9*8))</f>
        <v>72</v>
      </c>
      <c r="D6" s="316" t="str">
        <f>Interface!J7</f>
        <v>&lt;Select number of fish to produce per annum&gt;</v>
      </c>
      <c r="E6" s="316">
        <f>IF(OR(Interface!E7=Validation!H67,Interface!E7=Validation!H68),1,0)</f>
        <v>0</v>
      </c>
      <c r="F6" s="316">
        <v>1</v>
      </c>
      <c r="G6" s="325">
        <v>1200</v>
      </c>
      <c r="H6" s="317">
        <f>IF(Interface!E7=Validation!H66,0,IF(Interface!E7=Validation!H69,0,G6*C6))</f>
        <v>86400</v>
      </c>
      <c r="I6" s="318">
        <f>IF(Interface!D16=Validation!H10,0,H6)</f>
        <v>86400</v>
      </c>
      <c r="J6" s="183"/>
      <c r="K6" s="382" t="s">
        <v>403</v>
      </c>
      <c r="L6" s="383">
        <f>50*3</f>
        <v>150</v>
      </c>
      <c r="M6" s="383">
        <f>'Technical Information (POND)'!K18</f>
        <v>6</v>
      </c>
      <c r="N6" s="383">
        <v>1</v>
      </c>
      <c r="O6" s="384">
        <v>80000</v>
      </c>
      <c r="P6" s="385">
        <f>M6*O6</f>
        <v>480000</v>
      </c>
      <c r="Q6" s="386">
        <f>IF(Interface!$E$16=Validation!$H$10,0,P6)</f>
        <v>480000</v>
      </c>
    </row>
    <row r="7" spans="1:17">
      <c r="B7" s="315" t="s">
        <v>482</v>
      </c>
      <c r="C7" s="316">
        <f>IF(Interface!J7&lt;=25000,6*8,IF(Interface!J7&lt;=35000,8*8,9*8))</f>
        <v>72</v>
      </c>
      <c r="D7" s="316" t="str">
        <f>D6</f>
        <v>&lt;Select number of fish to produce per annum&gt;</v>
      </c>
      <c r="E7" s="316">
        <v>1</v>
      </c>
      <c r="F7" s="316">
        <f>IF(Interface!$J$7&lt;11000,1,1.003)</f>
        <v>1.0029999999999999</v>
      </c>
      <c r="G7" s="319">
        <v>2500</v>
      </c>
      <c r="H7" s="317">
        <f>G7*C7</f>
        <v>180000</v>
      </c>
      <c r="I7" s="318">
        <f>IF(Interface!D17="EXISTING",0,H7)</f>
        <v>180000</v>
      </c>
      <c r="J7" s="183"/>
      <c r="K7" s="372" t="str">
        <f>B7</f>
        <v>Offices/Storage/Feed Room</v>
      </c>
      <c r="L7" s="373">
        <f>IF(Interface!J7&lt;=25000,6*8,IF(Interface!J7&lt;=35000,8*8,9*8))</f>
        <v>72</v>
      </c>
      <c r="M7" s="373">
        <v>1</v>
      </c>
      <c r="N7" s="373">
        <f>F7</f>
        <v>1.0029999999999999</v>
      </c>
      <c r="O7" s="374">
        <f>G7</f>
        <v>2500</v>
      </c>
      <c r="P7" s="375">
        <f>L7*O7*N7</f>
        <v>180539.99999999997</v>
      </c>
      <c r="Q7" s="386">
        <f>IF(Interface!$E$16=Validation!$H$10,0,P7)</f>
        <v>180539.99999999997</v>
      </c>
    </row>
    <row r="8" spans="1:17" ht="12.75" thickBot="1">
      <c r="B8" s="315" t="s">
        <v>403</v>
      </c>
      <c r="C8" s="316">
        <f>50*3</f>
        <v>150</v>
      </c>
      <c r="D8" s="316" t="str">
        <f t="shared" ref="D8:D9" si="0">D7</f>
        <v>&lt;Select number of fish to produce per annum&gt;</v>
      </c>
      <c r="E8" s="316" t="e">
        <f>'Technical Information (RAS)'!K18</f>
        <v>#VALUE!</v>
      </c>
      <c r="F8" s="316">
        <f>IF(Interface!$J$7&lt;11000,1,1.03)</f>
        <v>1.03</v>
      </c>
      <c r="G8" s="325">
        <v>80000</v>
      </c>
      <c r="H8" s="317" t="e">
        <f>G8*E8</f>
        <v>#VALUE!</v>
      </c>
      <c r="I8" s="318" t="e">
        <f>IF(Interface!D18="EXISTING",0,H8)</f>
        <v>#VALUE!</v>
      </c>
      <c r="J8" s="183"/>
      <c r="K8" s="409" t="str">
        <f>B9</f>
        <v>Packing Room</v>
      </c>
      <c r="L8" s="410">
        <f>C9</f>
        <v>25</v>
      </c>
      <c r="M8" s="410">
        <v>1</v>
      </c>
      <c r="N8" s="1036">
        <f>IF(Interface!J7&lt;=25000,1,1.01)</f>
        <v>1.01</v>
      </c>
      <c r="O8" s="411">
        <f>G9</f>
        <v>25000</v>
      </c>
      <c r="P8" s="412">
        <f>N8*O8</f>
        <v>25250</v>
      </c>
      <c r="Q8" s="386">
        <f>IF(Interface!$E$16=Validation!$H$10,0,P8)</f>
        <v>25250</v>
      </c>
    </row>
    <row r="9" spans="1:17" ht="12.75" thickBot="1">
      <c r="B9" s="315" t="s">
        <v>378</v>
      </c>
      <c r="C9" s="316">
        <f>5*5</f>
        <v>25</v>
      </c>
      <c r="D9" s="316" t="str">
        <f t="shared" si="0"/>
        <v>&lt;Select number of fish to produce per annum&gt;</v>
      </c>
      <c r="E9" s="316">
        <v>1</v>
      </c>
      <c r="F9" s="916">
        <f>IF(Interface!J7&lt;=25000,1,1.01)</f>
        <v>1.01</v>
      </c>
      <c r="G9" s="319">
        <v>25000</v>
      </c>
      <c r="H9" s="317">
        <f>G9*F9*E9</f>
        <v>25250</v>
      </c>
      <c r="I9" s="318">
        <f>IF(Interface!D20="EXISTING",0,H9)</f>
        <v>25250</v>
      </c>
      <c r="J9" s="183"/>
      <c r="K9" s="185" t="s">
        <v>412</v>
      </c>
      <c r="L9" s="378"/>
      <c r="M9" s="378"/>
      <c r="N9" s="378"/>
      <c r="O9" s="188"/>
      <c r="P9" s="379"/>
      <c r="Q9" s="380" t="e">
        <f>SUM(Q10:Q11)</f>
        <v>#VALUE!</v>
      </c>
    </row>
    <row r="10" spans="1:17">
      <c r="B10" s="309" t="s">
        <v>404</v>
      </c>
      <c r="C10" s="323"/>
      <c r="D10" s="323"/>
      <c r="E10" s="323"/>
      <c r="F10" s="323"/>
      <c r="G10" s="274"/>
      <c r="H10" s="275"/>
      <c r="I10" s="276" t="e">
        <f>SUM(I11:I12)</f>
        <v>#VALUE!</v>
      </c>
      <c r="J10" s="183"/>
      <c r="K10" s="387" t="s">
        <v>449</v>
      </c>
      <c r="L10" s="388">
        <v>1</v>
      </c>
      <c r="M10" s="389" t="e">
        <f>IF(Interface!$J$7&lt;5000,1,1+Interface!$J$7/1000*0.08)</f>
        <v>#VALUE!</v>
      </c>
      <c r="N10" s="388"/>
      <c r="O10" s="413">
        <f>'Production Assumptions'!C13</f>
        <v>246346</v>
      </c>
      <c r="P10" s="390" t="e">
        <f>O10*M10*L10</f>
        <v>#VALUE!</v>
      </c>
      <c r="Q10" s="391" t="e">
        <f>IF(Interface!F16=Validation!F22,0,P10)</f>
        <v>#VALUE!</v>
      </c>
    </row>
    <row r="11" spans="1:17" ht="12.75" thickBot="1">
      <c r="B11" s="315" t="s">
        <v>449</v>
      </c>
      <c r="C11" s="316">
        <v>1</v>
      </c>
      <c r="D11" s="316" t="str">
        <f>D9</f>
        <v>&lt;Select number of fish to produce per annum&gt;</v>
      </c>
      <c r="E11" s="915" t="e">
        <f>IF(Interface!$J$7&lt;10000,1,1+(Interface!$J$7/1000)*0.05)</f>
        <v>#VALUE!</v>
      </c>
      <c r="F11" s="316"/>
      <c r="G11" s="320">
        <f>'Production Assumptions'!$C$13</f>
        <v>246346</v>
      </c>
      <c r="H11" s="317" t="e">
        <f>G11*E11*C11</f>
        <v>#VALUE!</v>
      </c>
      <c r="I11" s="318" t="e">
        <f>IF(AND(Interface!$F$16="YES",Interface!$E$16="EXISTING"),0,IF(AND(Interface!$F$16="YES",Interface!$E$16=Validation!$H$9),0,H11))</f>
        <v>#VALUE!</v>
      </c>
      <c r="J11" s="183"/>
      <c r="K11" s="414" t="s">
        <v>450</v>
      </c>
      <c r="L11" s="415">
        <f>L7+L8+(L6*M6)</f>
        <v>997</v>
      </c>
      <c r="M11" s="415"/>
      <c r="N11" s="415"/>
      <c r="O11" s="416">
        <v>100</v>
      </c>
      <c r="P11" s="417">
        <f>L11*O11</f>
        <v>99700</v>
      </c>
      <c r="Q11" s="418">
        <f>IF(Interface!$E$16=Validation!$H$10,0,P11)</f>
        <v>99700</v>
      </c>
    </row>
    <row r="12" spans="1:17" ht="12.75" thickBot="1">
      <c r="B12" s="315" t="s">
        <v>450</v>
      </c>
      <c r="C12" s="316"/>
      <c r="D12" s="316" t="str">
        <f>D11</f>
        <v>&lt;Select number of fish to produce per annum&gt;</v>
      </c>
      <c r="E12" s="316" t="e">
        <f>C6+C7+(C8*E8)+C9</f>
        <v>#VALUE!</v>
      </c>
      <c r="F12" s="316"/>
      <c r="G12" s="320">
        <v>100</v>
      </c>
      <c r="H12" s="317" t="e">
        <f>G12*E12</f>
        <v>#VALUE!</v>
      </c>
      <c r="I12" s="318" t="e">
        <f>IF(AND(Interface!E17="YES",Interface!D17="EXISTING"),0,IF(AND(Interface!E17="YES",Interface!D17=Validation!$H$9),0,H12))</f>
        <v>#VALUE!</v>
      </c>
      <c r="J12" s="183"/>
      <c r="K12" s="185" t="s">
        <v>107</v>
      </c>
      <c r="L12" s="378"/>
      <c r="M12" s="378"/>
      <c r="N12" s="378"/>
      <c r="O12" s="188"/>
      <c r="P12" s="379"/>
      <c r="Q12" s="380" t="e">
        <f>SUM(Q13:Q20)</f>
        <v>#VALUE!</v>
      </c>
    </row>
    <row r="13" spans="1:17">
      <c r="B13" s="309" t="s">
        <v>405</v>
      </c>
      <c r="C13" s="323"/>
      <c r="D13" s="323"/>
      <c r="E13" s="323"/>
      <c r="F13" s="323"/>
      <c r="G13" s="274"/>
      <c r="H13" s="275"/>
      <c r="I13" s="277" t="e">
        <f>SUM(I14:I25)</f>
        <v>#VALUE!</v>
      </c>
      <c r="J13" s="183"/>
      <c r="K13" s="387" t="s">
        <v>359</v>
      </c>
      <c r="L13" s="388">
        <f>'Technical Information (POND)'!C8</f>
        <v>192</v>
      </c>
      <c r="M13" s="388" t="e">
        <f>'Technical Information (POND)'!K17</f>
        <v>#VALUE!</v>
      </c>
      <c r="N13" s="388"/>
      <c r="O13" s="400">
        <f>'Technical Information (POND)'!C12</f>
        <v>100000</v>
      </c>
      <c r="P13" s="390" t="e">
        <f>O13*M13</f>
        <v>#VALUE!</v>
      </c>
      <c r="Q13" s="391" t="e">
        <f>IF(Interface!$E$16=Validation!$H$10,0,P13)</f>
        <v>#VALUE!</v>
      </c>
    </row>
    <row r="14" spans="1:17">
      <c r="B14" s="315" t="s">
        <v>130</v>
      </c>
      <c r="C14" s="915">
        <f>'Technical Information (RAS)'!C8</f>
        <v>1.5</v>
      </c>
      <c r="D14" s="316" t="str">
        <f>D6</f>
        <v>&lt;Select number of fish to produce per annum&gt;</v>
      </c>
      <c r="E14" s="316" t="e">
        <f>'Technical Information (RAS)'!K17</f>
        <v>#VALUE!</v>
      </c>
      <c r="F14" s="316">
        <v>1</v>
      </c>
      <c r="G14" s="319">
        <f>'Technical Information (RAS)'!C12</f>
        <v>3000</v>
      </c>
      <c r="H14" s="321" t="e">
        <f>G14*E14</f>
        <v>#VALUE!</v>
      </c>
      <c r="I14" s="322" t="e">
        <f>IF(Interface!$E$16="EXISTING",0,H14)</f>
        <v>#VALUE!</v>
      </c>
      <c r="J14" s="183"/>
      <c r="K14" s="401" t="s">
        <v>131</v>
      </c>
      <c r="L14" s="402">
        <v>1</v>
      </c>
      <c r="M14" s="402">
        <v>1</v>
      </c>
      <c r="N14" s="402">
        <v>1</v>
      </c>
      <c r="O14" s="403">
        <f>G15</f>
        <v>16500</v>
      </c>
      <c r="P14" s="404">
        <f>O14*L14*M14*N14</f>
        <v>16500</v>
      </c>
      <c r="Q14" s="391">
        <f>IF(Interface!$E$16=Validation!$H$10,0,P14)</f>
        <v>16500</v>
      </c>
    </row>
    <row r="15" spans="1:17">
      <c r="B15" s="315" t="s">
        <v>131</v>
      </c>
      <c r="C15" s="316">
        <v>1</v>
      </c>
      <c r="D15" s="316" t="str">
        <f>D14</f>
        <v>&lt;Select number of fish to produce per annum&gt;</v>
      </c>
      <c r="E15" s="316">
        <v>1</v>
      </c>
      <c r="F15" s="316">
        <v>1</v>
      </c>
      <c r="G15" s="325">
        <v>16500</v>
      </c>
      <c r="H15" s="325">
        <f>G15*F15*E15</f>
        <v>16500</v>
      </c>
      <c r="I15" s="322">
        <f>IF(Interface!$E$16="EXISTING",0,H15)</f>
        <v>16500</v>
      </c>
      <c r="J15" s="183"/>
      <c r="K15" s="401" t="s">
        <v>577</v>
      </c>
      <c r="L15" s="402">
        <f>M6</f>
        <v>6</v>
      </c>
      <c r="M15" s="402"/>
      <c r="N15" s="407"/>
      <c r="O15" s="408">
        <v>1400</v>
      </c>
      <c r="P15" s="404">
        <f>L15*O15</f>
        <v>8400</v>
      </c>
      <c r="Q15" s="391">
        <f>IF(Interface!$E$16=Validation!$H$10,0,P15)</f>
        <v>8400</v>
      </c>
    </row>
    <row r="16" spans="1:17">
      <c r="B16" s="315" t="s">
        <v>459</v>
      </c>
      <c r="C16" s="316"/>
      <c r="D16" s="316" t="str">
        <f>D15</f>
        <v>&lt;Select number of fish to produce per annum&gt;</v>
      </c>
      <c r="E16" s="316" t="e">
        <f>E8*2</f>
        <v>#VALUE!</v>
      </c>
      <c r="F16" s="316"/>
      <c r="G16" s="319">
        <v>1200</v>
      </c>
      <c r="H16" s="321" t="e">
        <f>G16*E16</f>
        <v>#VALUE!</v>
      </c>
      <c r="I16" s="322" t="e">
        <f>IF(Interface!$E$16="EXISTING",0,H16)</f>
        <v>#VALUE!</v>
      </c>
      <c r="J16" s="183"/>
      <c r="K16" s="401" t="s">
        <v>578</v>
      </c>
      <c r="L16" s="402">
        <f>L15</f>
        <v>6</v>
      </c>
      <c r="M16" s="402">
        <v>1</v>
      </c>
      <c r="N16" s="407"/>
      <c r="O16" s="408">
        <v>1400</v>
      </c>
      <c r="P16" s="404">
        <f>L16*O16</f>
        <v>8400</v>
      </c>
      <c r="Q16" s="391">
        <f>IF(Interface!$E$16=Validation!$H$10,0,P16)</f>
        <v>8400</v>
      </c>
    </row>
    <row r="17" spans="2:17">
      <c r="B17" s="315" t="s">
        <v>463</v>
      </c>
      <c r="C17" s="316">
        <f>IF('Bio-Model'!D18=1,'Bio-Model'!N18,IF('Bio-Model'!D18=5.4,'Bio-Model'!P18,'Bio-Model'!Q18))</f>
        <v>27</v>
      </c>
      <c r="D17" s="316" t="str">
        <f t="shared" ref="D17:D25" si="1">D16</f>
        <v>&lt;Select number of fish to produce per annum&gt;</v>
      </c>
      <c r="E17" s="316">
        <f>IF(C14=1.5,H41,I41)+C17</f>
        <v>27</v>
      </c>
      <c r="F17" s="316"/>
      <c r="G17" s="319">
        <v>200</v>
      </c>
      <c r="H17" s="321">
        <f>G17*E17</f>
        <v>5400</v>
      </c>
      <c r="I17" s="322">
        <f>IF(Interface!$E$16="EXISTING",0,H17)</f>
        <v>5400</v>
      </c>
      <c r="J17" s="183"/>
      <c r="K17" s="401" t="s">
        <v>579</v>
      </c>
      <c r="L17" s="1035">
        <v>1.1000000000000001</v>
      </c>
      <c r="M17" s="402">
        <f>M6+1</f>
        <v>7</v>
      </c>
      <c r="N17" s="407"/>
      <c r="O17" s="408">
        <v>4500</v>
      </c>
      <c r="P17" s="404">
        <f>M17*O17</f>
        <v>31500</v>
      </c>
      <c r="Q17" s="391">
        <f>IF(Interface!$E$16=Validation!$H$10,0,P17)</f>
        <v>31500</v>
      </c>
    </row>
    <row r="18" spans="2:17">
      <c r="B18" s="315" t="s">
        <v>455</v>
      </c>
      <c r="C18" s="915">
        <f>'Bio-Model'!D18</f>
        <v>5.4</v>
      </c>
      <c r="D18" s="316" t="str">
        <f t="shared" si="1"/>
        <v>&lt;Select number of fish to produce per annum&gt;</v>
      </c>
      <c r="E18" s="316" t="e">
        <f>'Bio-Model'!D19</f>
        <v>#VALUE!</v>
      </c>
      <c r="F18" s="316"/>
      <c r="G18" s="319">
        <f>IF(Interface!J7&lt;=1000,'Bio-Model'!L19,IF(Interface!J7&lt;=5000,'Bio-Model'!N19,IF(Interface!J7&lt;=10000,'Bio-Model'!P19,'Bio-Model'!Q19)))</f>
        <v>3400</v>
      </c>
      <c r="H18" s="321" t="e">
        <f>G18*E18</f>
        <v>#VALUE!</v>
      </c>
      <c r="I18" s="322" t="e">
        <f>IF(Interface!$E$16="EXISTING",0,H18)</f>
        <v>#VALUE!</v>
      </c>
      <c r="J18" s="183"/>
      <c r="K18" s="401" t="s">
        <v>593</v>
      </c>
      <c r="L18" s="402">
        <v>1</v>
      </c>
      <c r="M18" s="402">
        <f>'Technical Information (POND)'!C6</f>
        <v>6</v>
      </c>
      <c r="N18" s="402">
        <v>1</v>
      </c>
      <c r="O18" s="408">
        <v>3000</v>
      </c>
      <c r="P18" s="404">
        <f>O18*M18</f>
        <v>18000</v>
      </c>
      <c r="Q18" s="391">
        <f>IF(Interface!$E$16=Validation!$H$10,0,P18)</f>
        <v>18000</v>
      </c>
    </row>
    <row r="19" spans="2:17">
      <c r="B19" s="315" t="s">
        <v>458</v>
      </c>
      <c r="C19" s="316"/>
      <c r="D19" s="316" t="str">
        <f t="shared" si="1"/>
        <v>&lt;Select number of fish to produce per annum&gt;</v>
      </c>
      <c r="E19" s="916" t="e">
        <f>'Bio-Model'!D17</f>
        <v>#VALUE!</v>
      </c>
      <c r="F19" s="316"/>
      <c r="G19" s="319">
        <v>7000</v>
      </c>
      <c r="H19" s="321" t="e">
        <f>G19*E19</f>
        <v>#VALUE!</v>
      </c>
      <c r="I19" s="322" t="e">
        <f>IF(Interface!$E$16="EXISTING",0,H19)</f>
        <v>#VALUE!</v>
      </c>
      <c r="J19" s="183"/>
      <c r="K19" s="382" t="s">
        <v>580</v>
      </c>
      <c r="L19" s="388">
        <v>1</v>
      </c>
      <c r="M19" s="388">
        <v>1</v>
      </c>
      <c r="N19" s="388">
        <v>1</v>
      </c>
      <c r="O19" s="419">
        <f>IF(Interface!$E$11=Validation!$H$77,(10000/42)*CAPEX!#REF!,(10000/6)*CAPEX!$M$18)</f>
        <v>10000</v>
      </c>
      <c r="P19" s="390">
        <f>O19</f>
        <v>10000</v>
      </c>
      <c r="Q19" s="391">
        <f>IF(Interface!$E$16=Validation!$H$10,0,P19)</f>
        <v>10000</v>
      </c>
    </row>
    <row r="20" spans="2:17" ht="12.75" thickBot="1">
      <c r="B20" s="315" t="s">
        <v>287</v>
      </c>
      <c r="C20" s="316">
        <v>1</v>
      </c>
      <c r="D20" s="316" t="str">
        <f t="shared" si="1"/>
        <v>&lt;Select number of fish to produce per annum&gt;</v>
      </c>
      <c r="E20" s="316">
        <v>1</v>
      </c>
      <c r="F20" s="316">
        <v>1</v>
      </c>
      <c r="G20" s="319">
        <f>IF(Interface!$J$7&lt;3000,6000,IF(Interface!$J$7&lt;8000,12000,IF(Interface!$J$7&lt;10000,15000,IF(Interface!$J$7&lt;100000,30000,0))))</f>
        <v>0</v>
      </c>
      <c r="H20" s="321">
        <f>G20*C20</f>
        <v>0</v>
      </c>
      <c r="I20" s="322">
        <f>IF(Interface!$E$16="EXISTING",0,H20)</f>
        <v>0</v>
      </c>
      <c r="J20" s="183"/>
      <c r="K20" s="382" t="s">
        <v>581</v>
      </c>
      <c r="L20" s="420">
        <v>1</v>
      </c>
      <c r="M20" s="420">
        <v>1</v>
      </c>
      <c r="N20" s="420">
        <v>1</v>
      </c>
      <c r="O20" s="419">
        <f>IF(Interface!$E$11=Validation!$H$77,(15000/42)*CAPEX!#REF!,(15000/6)*CAPEX!$M$18)</f>
        <v>15000</v>
      </c>
      <c r="P20" s="421">
        <f>O20</f>
        <v>15000</v>
      </c>
      <c r="Q20" s="391">
        <f>IF(Interface!$E$16=Validation!$H$10,0,P20)</f>
        <v>15000</v>
      </c>
    </row>
    <row r="21" spans="2:17" ht="12.75" thickBot="1">
      <c r="B21" s="315" t="s">
        <v>380</v>
      </c>
      <c r="C21" s="316">
        <v>1</v>
      </c>
      <c r="D21" s="316" t="str">
        <f t="shared" si="1"/>
        <v>&lt;Select number of fish to produce per annum&gt;</v>
      </c>
      <c r="E21" s="316">
        <v>1</v>
      </c>
      <c r="F21" s="316">
        <v>1</v>
      </c>
      <c r="G21" s="319">
        <f>IF(Interface!$J$7&lt;3000,0,IF(Interface!$J$7&lt;10000,7500,IF(Interface!$J$7&lt;100000,11000,160000)))</f>
        <v>160000</v>
      </c>
      <c r="H21" s="321">
        <f>G21*C21</f>
        <v>160000</v>
      </c>
      <c r="I21" s="322">
        <f>IF(Interface!$E$16="EXISTING",0,H21)</f>
        <v>160000</v>
      </c>
      <c r="J21" s="183"/>
      <c r="K21" s="185" t="s">
        <v>413</v>
      </c>
      <c r="L21" s="378"/>
      <c r="M21" s="378"/>
      <c r="N21" s="378"/>
      <c r="O21" s="188"/>
      <c r="P21" s="379"/>
      <c r="Q21" s="380" t="e">
        <f>SUM(Q22:Q27)</f>
        <v>#VALUE!</v>
      </c>
    </row>
    <row r="22" spans="2:17">
      <c r="B22" s="361" t="s">
        <v>559</v>
      </c>
      <c r="C22" s="362"/>
      <c r="D22" s="316" t="str">
        <f t="shared" si="1"/>
        <v>&lt;Select number of fish to produce per annum&gt;</v>
      </c>
      <c r="E22" s="362">
        <f>'Technical Information (RAS)'!E28</f>
        <v>120</v>
      </c>
      <c r="F22" s="362"/>
      <c r="G22" s="360">
        <f>'Technical Information (RAS)'!D28</f>
        <v>200</v>
      </c>
      <c r="H22" s="363">
        <f>IF(Interface!E7=Validation!H66,0,IF(Interface!E7=Validation!H69,0,G22*E22))</f>
        <v>24000</v>
      </c>
      <c r="I22" s="322">
        <f>IF(Interface!$E$16="EXISTING",0,H22)</f>
        <v>24000</v>
      </c>
      <c r="J22" s="183"/>
      <c r="K22" s="387" t="s">
        <v>132</v>
      </c>
      <c r="L22" s="388"/>
      <c r="M22" s="388" t="e">
        <f>HR!C26+1</f>
        <v>#VALUE!</v>
      </c>
      <c r="N22" s="388">
        <v>1</v>
      </c>
      <c r="O22" s="413">
        <f>G27</f>
        <v>273.2</v>
      </c>
      <c r="P22" s="390" t="e">
        <f>O22*M22</f>
        <v>#VALUE!</v>
      </c>
      <c r="Q22" s="391" t="e">
        <f>IF(Interface!$E$16=Validation!$H$10,0,P22)</f>
        <v>#VALUE!</v>
      </c>
    </row>
    <row r="23" spans="2:17">
      <c r="B23" s="361" t="s">
        <v>560</v>
      </c>
      <c r="C23" s="362">
        <v>3</v>
      </c>
      <c r="D23" s="316" t="str">
        <f t="shared" si="1"/>
        <v>&lt;Select number of fish to produce per annum&gt;</v>
      </c>
      <c r="E23" s="362">
        <f>ROUNDUP(E22/C23,0)</f>
        <v>40</v>
      </c>
      <c r="F23" s="362"/>
      <c r="G23" s="360">
        <f>'Technical Information (RAS)'!D29</f>
        <v>1200</v>
      </c>
      <c r="H23" s="363">
        <f>IF(Interface!E7=Validation!H66,0,IF(Interface!E7=Validation!H69,0,G23*E23))</f>
        <v>48000</v>
      </c>
      <c r="I23" s="322">
        <f>IF(Interface!$E$16="EXISTING",0,H23)</f>
        <v>48000</v>
      </c>
      <c r="J23" s="183"/>
      <c r="K23" s="422" t="s">
        <v>462</v>
      </c>
      <c r="L23" s="402">
        <f>IF(Interface!$J$7&lt;10000,5,10)</f>
        <v>10</v>
      </c>
      <c r="M23" s="402">
        <f>IF(Interface!J7&lt;100000,1,2)</f>
        <v>2</v>
      </c>
      <c r="N23" s="402">
        <f>F28</f>
        <v>1</v>
      </c>
      <c r="O23" s="423">
        <f>IF(C28=5,5000,IF(C28=10,14000,20000))</f>
        <v>14000</v>
      </c>
      <c r="P23" s="423">
        <f>O23*M23</f>
        <v>28000</v>
      </c>
      <c r="Q23" s="391">
        <f>IF(Interface!$E$16=Validation!$H$10,0,P23)</f>
        <v>28000</v>
      </c>
    </row>
    <row r="24" spans="2:17">
      <c r="B24" s="361" t="s">
        <v>561</v>
      </c>
      <c r="C24" s="362">
        <v>1</v>
      </c>
      <c r="D24" s="316" t="str">
        <f t="shared" si="1"/>
        <v>&lt;Select number of fish to produce per annum&gt;</v>
      </c>
      <c r="E24" s="362">
        <f>'Technical Information (RAS)'!E30</f>
        <v>1</v>
      </c>
      <c r="F24" s="362"/>
      <c r="G24" s="360">
        <f>'Technical Information (RAS)'!D30</f>
        <v>10000</v>
      </c>
      <c r="H24" s="363">
        <f>IF(Interface!E7=Validation!H66,0,IF(Interface!E7=Validation!H69,0,G24*E24))</f>
        <v>10000</v>
      </c>
      <c r="I24" s="322">
        <f>IF(Interface!$E$16="EXISTING",0,H24)</f>
        <v>10000</v>
      </c>
      <c r="J24" s="183"/>
      <c r="K24" s="401" t="s">
        <v>411</v>
      </c>
      <c r="L24" s="402">
        <f>C29</f>
        <v>1</v>
      </c>
      <c r="M24" s="402">
        <v>1</v>
      </c>
      <c r="N24" s="402">
        <v>1</v>
      </c>
      <c r="O24" s="403">
        <f>G29</f>
        <v>6000</v>
      </c>
      <c r="P24" s="404">
        <f>O24*L24</f>
        <v>6000</v>
      </c>
      <c r="Q24" s="391">
        <f>IF(Interface!$E$16=Validation!$H$10,0,P24)</f>
        <v>6000</v>
      </c>
    </row>
    <row r="25" spans="2:17" ht="12.75" thickBot="1">
      <c r="B25" s="361" t="s">
        <v>562</v>
      </c>
      <c r="C25" s="362">
        <v>1</v>
      </c>
      <c r="D25" s="316" t="str">
        <f t="shared" si="1"/>
        <v>&lt;Select number of fish to produce per annum&gt;</v>
      </c>
      <c r="E25" s="362">
        <f>'Technical Information (RAS)'!E31</f>
        <v>1</v>
      </c>
      <c r="F25" s="362"/>
      <c r="G25" s="360">
        <f>'Technical Information (RAS)'!D31</f>
        <v>15000</v>
      </c>
      <c r="H25" s="363">
        <f>IF(Interface!E7=Validation!H66,0,IF(Interface!E7=Validation!H69,0,G25*E25))</f>
        <v>15000</v>
      </c>
      <c r="I25" s="322">
        <f>IF(Interface!$E$16="EXISTING",0,H25)</f>
        <v>15000</v>
      </c>
      <c r="J25" s="183"/>
      <c r="K25" s="429" t="s">
        <v>410</v>
      </c>
      <c r="L25" s="430"/>
      <c r="M25" s="430" t="e">
        <f>HR!C26+1</f>
        <v>#VALUE!</v>
      </c>
      <c r="N25" s="430">
        <v>1</v>
      </c>
      <c r="O25" s="431">
        <f>G30</f>
        <v>216</v>
      </c>
      <c r="P25" s="432" t="e">
        <f>O25*M25</f>
        <v>#VALUE!</v>
      </c>
      <c r="Q25" s="391" t="e">
        <f>IF(Interface!$E$16=Validation!$H$10,0,P25)</f>
        <v>#VALUE!</v>
      </c>
    </row>
    <row r="26" spans="2:17">
      <c r="B26" s="184"/>
      <c r="C26" s="323"/>
      <c r="D26" s="323"/>
      <c r="E26" s="323"/>
      <c r="F26" s="323"/>
      <c r="G26" s="274"/>
      <c r="H26" s="275"/>
      <c r="I26" s="276" t="e">
        <f>SUM(I27:I32)</f>
        <v>#VALUE!</v>
      </c>
      <c r="J26" s="183"/>
      <c r="K26" s="429" t="s">
        <v>461</v>
      </c>
      <c r="L26" s="433">
        <f>E37</f>
        <v>2</v>
      </c>
      <c r="M26" s="430">
        <f>E38</f>
        <v>2</v>
      </c>
      <c r="N26" s="430">
        <v>1</v>
      </c>
      <c r="O26" s="431">
        <f>E39</f>
        <v>25000</v>
      </c>
      <c r="P26" s="432">
        <f>O26*M26</f>
        <v>50000</v>
      </c>
      <c r="Q26" s="391">
        <f>IF(Interface!$E$16=Validation!$H$10,0,P26)</f>
        <v>50000</v>
      </c>
    </row>
    <row r="27" spans="2:17" ht="12.75" thickBot="1">
      <c r="B27" s="315" t="s">
        <v>408</v>
      </c>
      <c r="C27" s="316">
        <v>1</v>
      </c>
      <c r="D27" s="316" t="str">
        <f>D25</f>
        <v>&lt;Select number of fish to produce per annum&gt;</v>
      </c>
      <c r="E27" s="364" t="e">
        <f>HR!C10</f>
        <v>#VALUE!</v>
      </c>
      <c r="F27" s="316">
        <v>1</v>
      </c>
      <c r="G27" s="319">
        <v>273.2</v>
      </c>
      <c r="H27" s="321" t="e">
        <f>G27*E27</f>
        <v>#VALUE!</v>
      </c>
      <c r="I27" s="322" t="e">
        <f>IF(Interface!$E$16="EXISTING",0,H27)</f>
        <v>#VALUE!</v>
      </c>
      <c r="J27" s="183"/>
      <c r="K27" s="401" t="s">
        <v>133</v>
      </c>
      <c r="L27" s="402">
        <f>IF(Interface!$J$7&lt;=20000,0,1)</f>
        <v>1</v>
      </c>
      <c r="M27" s="402">
        <v>1</v>
      </c>
      <c r="N27" s="402">
        <v>1</v>
      </c>
      <c r="O27" s="403">
        <f>G32</f>
        <v>200000</v>
      </c>
      <c r="P27" s="404">
        <f>O27*L27</f>
        <v>200000</v>
      </c>
      <c r="Q27" s="405">
        <f>IF(Interface!E16=Validation!H10,0,P27)</f>
        <v>200000</v>
      </c>
    </row>
    <row r="28" spans="2:17" ht="15" thickBot="1">
      <c r="B28" s="315" t="s">
        <v>381</v>
      </c>
      <c r="C28" s="316">
        <f>IF(Interface!$J$7&lt;10000,5,10)</f>
        <v>10</v>
      </c>
      <c r="D28" s="316" t="str">
        <f>D27</f>
        <v>&lt;Select number of fish to produce per annum&gt;</v>
      </c>
      <c r="E28" s="364">
        <f>IF(Interface!J7&lt;100000,1,2)</f>
        <v>2</v>
      </c>
      <c r="F28" s="316">
        <v>1</v>
      </c>
      <c r="G28" s="319">
        <f>IF(C28=5,5000,IF(C28=10,14000,20000))</f>
        <v>14000</v>
      </c>
      <c r="H28" s="321">
        <f>G28*E28</f>
        <v>28000</v>
      </c>
      <c r="I28" s="322">
        <f>IF(Interface!$E$16="EXISTING",0,H28)</f>
        <v>28000</v>
      </c>
      <c r="J28" s="183"/>
      <c r="K28" s="48"/>
      <c r="L28" s="371"/>
      <c r="M28" s="371"/>
      <c r="N28" s="371"/>
      <c r="O28" s="49"/>
      <c r="P28" s="49"/>
      <c r="Q28" s="424" t="e">
        <f>Q21+Q12+Q9+Q5</f>
        <v>#VALUE!</v>
      </c>
    </row>
    <row r="29" spans="2:17">
      <c r="B29" s="315" t="s">
        <v>382</v>
      </c>
      <c r="C29" s="316">
        <f>HR!C7+1</f>
        <v>1</v>
      </c>
      <c r="D29" s="316" t="str">
        <f t="shared" ref="D29" si="2">D27</f>
        <v>&lt;Select number of fish to produce per annum&gt;</v>
      </c>
      <c r="E29" s="364">
        <v>1</v>
      </c>
      <c r="F29" s="316">
        <v>1</v>
      </c>
      <c r="G29" s="319">
        <v>6000</v>
      </c>
      <c r="H29" s="321">
        <f>G29*C29</f>
        <v>6000</v>
      </c>
      <c r="I29" s="322">
        <f>IF(Interface!$E$16="EXISTING",0,H29)</f>
        <v>6000</v>
      </c>
      <c r="J29" s="183"/>
    </row>
    <row r="30" spans="2:17">
      <c r="B30" s="315" t="s">
        <v>357</v>
      </c>
      <c r="C30" s="316">
        <v>1</v>
      </c>
      <c r="D30" s="316" t="str">
        <f t="shared" ref="D30" si="3">D29</f>
        <v>&lt;Select number of fish to produce per annum&gt;</v>
      </c>
      <c r="E30" s="364" t="e">
        <f>HR!C10</f>
        <v>#VALUE!</v>
      </c>
      <c r="F30" s="316">
        <v>1</v>
      </c>
      <c r="G30" s="319">
        <v>216</v>
      </c>
      <c r="H30" s="321" t="e">
        <f>G30*E30</f>
        <v>#VALUE!</v>
      </c>
      <c r="I30" s="322" t="e">
        <f>IF(Interface!$E$16="EXISTING",0,H30)</f>
        <v>#VALUE!</v>
      </c>
      <c r="J30" s="183"/>
    </row>
    <row r="31" spans="2:17">
      <c r="B31" s="315" t="s">
        <v>460</v>
      </c>
      <c r="C31" s="915" t="e">
        <f>D38*E8</f>
        <v>#VALUE!</v>
      </c>
      <c r="D31" s="316" t="str">
        <f t="shared" ref="D31" si="4">D29</f>
        <v>&lt;Select number of fish to produce per annum&gt;</v>
      </c>
      <c r="E31" s="364">
        <f>D38</f>
        <v>1</v>
      </c>
      <c r="F31" s="316">
        <v>1</v>
      </c>
      <c r="G31" s="319">
        <f>D39</f>
        <v>25000</v>
      </c>
      <c r="H31" s="321">
        <f>G31*E31</f>
        <v>25000</v>
      </c>
      <c r="I31" s="322">
        <f>IF(Interface!$E$16="EXISTING",0,H31)</f>
        <v>25000</v>
      </c>
      <c r="J31" s="183"/>
    </row>
    <row r="32" spans="2:17" ht="12.75" thickBot="1">
      <c r="B32" s="365" t="s">
        <v>133</v>
      </c>
      <c r="C32" s="366">
        <f>IF(Interface!$J$7&lt;=25000,0,1)</f>
        <v>1</v>
      </c>
      <c r="D32" s="316" t="str">
        <f t="shared" ref="D32" si="5">D31</f>
        <v>&lt;Select number of fish to produce per annum&gt;</v>
      </c>
      <c r="E32" s="364">
        <v>1</v>
      </c>
      <c r="F32" s="366">
        <v>1</v>
      </c>
      <c r="G32" s="367">
        <v>200000</v>
      </c>
      <c r="H32" s="321">
        <f>G32*C32</f>
        <v>200000</v>
      </c>
      <c r="I32" s="322">
        <f>IF(Interface!$E$16="EXISTING",0,H32)</f>
        <v>200000</v>
      </c>
      <c r="J32" s="183"/>
    </row>
    <row r="33" spans="1:10" ht="12" customHeight="1" thickBot="1">
      <c r="B33" s="48"/>
      <c r="C33" s="324"/>
      <c r="D33" s="324"/>
      <c r="E33" s="324"/>
      <c r="F33" s="324"/>
      <c r="G33" s="158"/>
      <c r="H33" s="158"/>
      <c r="I33" s="278" t="e">
        <f>I26+I13+I10+I5</f>
        <v>#VALUE!</v>
      </c>
      <c r="J33" s="183"/>
    </row>
    <row r="34" spans="1:10" ht="12.75" thickBot="1">
      <c r="J34" s="183"/>
    </row>
    <row r="35" spans="1:10">
      <c r="B35" s="550"/>
      <c r="C35" s="551"/>
      <c r="D35" s="552" t="s">
        <v>56</v>
      </c>
      <c r="E35" s="553" t="s">
        <v>57</v>
      </c>
      <c r="J35" s="183"/>
    </row>
    <row r="36" spans="1:10" ht="12.75" customHeight="1">
      <c r="B36" s="554" t="s">
        <v>354</v>
      </c>
      <c r="C36" s="555"/>
      <c r="D36" s="357"/>
      <c r="E36" s="556"/>
      <c r="J36" s="183"/>
    </row>
    <row r="37" spans="1:10" ht="13.9" customHeight="1">
      <c r="B37" s="557" t="s">
        <v>551</v>
      </c>
      <c r="C37" s="558"/>
      <c r="D37" s="356">
        <v>2</v>
      </c>
      <c r="E37" s="406">
        <v>2</v>
      </c>
      <c r="J37" s="183"/>
    </row>
    <row r="38" spans="1:10">
      <c r="A38" s="47"/>
      <c r="B38" s="557" t="s">
        <v>552</v>
      </c>
      <c r="C38" s="558"/>
      <c r="D38" s="356">
        <v>1</v>
      </c>
      <c r="E38" s="406">
        <v>2</v>
      </c>
    </row>
    <row r="39" spans="1:10">
      <c r="A39" s="47"/>
      <c r="B39" s="557" t="s">
        <v>355</v>
      </c>
      <c r="C39" s="558"/>
      <c r="D39" s="358">
        <v>25000</v>
      </c>
      <c r="E39" s="918">
        <v>25000</v>
      </c>
    </row>
    <row r="40" spans="1:10">
      <c r="A40" s="47"/>
    </row>
    <row r="41" spans="1:10">
      <c r="A41" s="47"/>
    </row>
    <row r="42" spans="1:10">
      <c r="A42" s="47"/>
    </row>
    <row r="43" spans="1:10">
      <c r="A43" s="47"/>
      <c r="J43" s="183"/>
    </row>
    <row r="44" spans="1:10">
      <c r="A44" s="47"/>
      <c r="J44" s="183"/>
    </row>
    <row r="45" spans="1:10">
      <c r="A45" s="47"/>
      <c r="J45" s="183"/>
    </row>
    <row r="46" spans="1:10">
      <c r="A46" s="47"/>
      <c r="J46" s="183"/>
    </row>
    <row r="47" spans="1:10">
      <c r="A47" s="47"/>
      <c r="J47" s="183"/>
    </row>
    <row r="48" spans="1:10">
      <c r="A48" s="47"/>
      <c r="J48" s="183"/>
    </row>
    <row r="49" spans="1:10">
      <c r="A49" s="47"/>
      <c r="J49" s="183"/>
    </row>
    <row r="50" spans="1:10">
      <c r="A50" s="47"/>
      <c r="J50" s="183"/>
    </row>
    <row r="51" spans="1:10">
      <c r="A51" s="47"/>
      <c r="J51" s="183"/>
    </row>
    <row r="52" spans="1:10">
      <c r="A52" s="47"/>
      <c r="J52" s="183"/>
    </row>
    <row r="53" spans="1:10">
      <c r="A53" s="47"/>
      <c r="J53" s="183"/>
    </row>
    <row r="54" spans="1:10">
      <c r="A54" s="47"/>
      <c r="J54" s="183"/>
    </row>
    <row r="55" spans="1:10">
      <c r="A55" s="47"/>
      <c r="J55" s="183"/>
    </row>
    <row r="68" spans="8:10">
      <c r="J68" s="183"/>
    </row>
    <row r="69" spans="8:10">
      <c r="J69" s="183"/>
    </row>
    <row r="70" spans="8:10">
      <c r="H70" s="392"/>
      <c r="I70" s="392"/>
      <c r="J70" s="183"/>
    </row>
    <row r="71" spans="8:10">
      <c r="H71" s="392"/>
      <c r="I71" s="392"/>
      <c r="J71" s="183"/>
    </row>
    <row r="72" spans="8:10">
      <c r="H72" s="392"/>
      <c r="I72" s="392"/>
      <c r="J72" s="183"/>
    </row>
    <row r="73" spans="8:10">
      <c r="H73" s="392"/>
      <c r="I73" s="392"/>
      <c r="J73" s="393"/>
    </row>
    <row r="74" spans="8:10">
      <c r="H74" s="392"/>
      <c r="I74" s="392"/>
      <c r="J74" s="393"/>
    </row>
    <row r="75" spans="8:10">
      <c r="H75" s="392"/>
      <c r="I75" s="392"/>
      <c r="J75" s="393"/>
    </row>
    <row r="76" spans="8:10">
      <c r="H76" s="392"/>
      <c r="I76" s="392"/>
      <c r="J76" s="393"/>
    </row>
    <row r="77" spans="8:10">
      <c r="H77" s="392"/>
      <c r="I77" s="392"/>
      <c r="J77" s="393"/>
    </row>
    <row r="78" spans="8:10">
      <c r="H78" s="392"/>
      <c r="I78" s="392"/>
      <c r="J78" s="393"/>
    </row>
    <row r="79" spans="8:10">
      <c r="H79" s="392"/>
      <c r="I79" s="392"/>
      <c r="J79" s="393"/>
    </row>
    <row r="80" spans="8:10">
      <c r="H80" s="392"/>
      <c r="I80" s="392"/>
      <c r="J80" s="393"/>
    </row>
    <row r="81" spans="8:10">
      <c r="H81" s="392"/>
      <c r="I81" s="392"/>
      <c r="J81" s="393"/>
    </row>
    <row r="82" spans="8:10">
      <c r="H82" s="392"/>
      <c r="I82" s="392"/>
      <c r="J82" s="393"/>
    </row>
    <row r="83" spans="8:10">
      <c r="H83" s="392"/>
      <c r="I83" s="392"/>
      <c r="J83" s="393"/>
    </row>
    <row r="84" spans="8:10">
      <c r="J84" s="393"/>
    </row>
    <row r="85" spans="8:10">
      <c r="J85" s="393"/>
    </row>
    <row r="86" spans="8:10">
      <c r="J86" s="393"/>
    </row>
  </sheetData>
  <mergeCells count="3">
    <mergeCell ref="B3:I3"/>
    <mergeCell ref="K3:Q3"/>
    <mergeCell ref="A1:XFD1"/>
  </mergeCells>
  <pageMargins left="0.7" right="0.7" top="0.75" bottom="0.75" header="0.3" footer="0.3"/>
  <pageSetup paperSize="9" scale="2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A029B-A5C9-42F8-8704-DE5E740D11F6}">
  <sheetPr codeName="Sheet19">
    <tabColor rgb="FF92D050"/>
  </sheetPr>
  <dimension ref="A1:AJ39"/>
  <sheetViews>
    <sheetView zoomScale="80" zoomScaleNormal="80" workbookViewId="0">
      <selection activeCell="D32" sqref="D32"/>
    </sheetView>
  </sheetViews>
  <sheetFormatPr defaultColWidth="9.140625" defaultRowHeight="12.75"/>
  <cols>
    <col min="1" max="1" width="4.28515625" style="570" customWidth="1"/>
    <col min="2" max="2" width="30.28515625" style="570" bestFit="1" customWidth="1"/>
    <col min="3" max="3" width="16.140625" style="570" customWidth="1"/>
    <col min="4" max="4" width="17" style="570" bestFit="1" customWidth="1"/>
    <col min="5" max="5" width="14" style="570" bestFit="1" customWidth="1"/>
    <col min="6" max="6" width="13.42578125" style="570" bestFit="1" customWidth="1"/>
    <col min="7" max="15" width="14.42578125" style="570" bestFit="1" customWidth="1"/>
    <col min="16" max="16" width="15.5703125" style="570" bestFit="1" customWidth="1"/>
    <col min="17" max="28" width="14.42578125" style="570" bestFit="1" customWidth="1"/>
    <col min="29" max="29" width="16.5703125" style="570" bestFit="1" customWidth="1"/>
    <col min="30" max="36" width="15.5703125" style="570" bestFit="1" customWidth="1"/>
    <col min="37" max="16384" width="9.140625" style="570"/>
  </cols>
  <sheetData>
    <row r="1" spans="1:36" s="1164" customFormat="1" ht="15">
      <c r="A1" s="1164" t="s">
        <v>431</v>
      </c>
    </row>
    <row r="2" spans="1:36" s="568" customFormat="1" ht="13.5" thickBot="1">
      <c r="P2" s="568">
        <v>1</v>
      </c>
      <c r="AB2" s="568">
        <v>1</v>
      </c>
      <c r="AC2" s="568">
        <v>2</v>
      </c>
      <c r="AD2" s="568">
        <v>3</v>
      </c>
      <c r="AE2" s="568">
        <v>4</v>
      </c>
      <c r="AF2" s="568">
        <v>5</v>
      </c>
      <c r="AG2" s="568">
        <v>6</v>
      </c>
      <c r="AH2" s="568">
        <v>7</v>
      </c>
      <c r="AI2" s="568">
        <v>8</v>
      </c>
      <c r="AJ2" s="568">
        <v>9</v>
      </c>
    </row>
    <row r="3" spans="1:36" s="569" customFormat="1" ht="13.5" thickBot="1">
      <c r="C3" s="1165" t="s">
        <v>112</v>
      </c>
      <c r="D3" s="1167" t="str">
        <f>C3</f>
        <v>YEAR 1</v>
      </c>
      <c r="E3" s="1167"/>
      <c r="F3" s="1167"/>
      <c r="G3" s="1167"/>
      <c r="H3" s="1167"/>
      <c r="I3" s="1167"/>
      <c r="J3" s="1167"/>
      <c r="K3" s="1167"/>
      <c r="L3" s="1167"/>
      <c r="M3" s="1167"/>
      <c r="N3" s="1167"/>
      <c r="O3" s="1167"/>
      <c r="P3" s="1168" t="s">
        <v>113</v>
      </c>
      <c r="Q3" s="1170" t="s">
        <v>13</v>
      </c>
      <c r="R3" s="1170"/>
      <c r="S3" s="1170"/>
      <c r="T3" s="1170"/>
      <c r="U3" s="1170"/>
      <c r="V3" s="1170"/>
      <c r="W3" s="1170"/>
      <c r="X3" s="1170"/>
      <c r="Y3" s="1170"/>
      <c r="Z3" s="1170"/>
      <c r="AA3" s="1170"/>
      <c r="AB3" s="1170"/>
      <c r="AC3" s="1171" t="s">
        <v>114</v>
      </c>
      <c r="AD3" s="1171" t="s">
        <v>115</v>
      </c>
      <c r="AE3" s="1171" t="s">
        <v>116</v>
      </c>
      <c r="AF3" s="1171" t="s">
        <v>117</v>
      </c>
      <c r="AG3" s="1171" t="s">
        <v>118</v>
      </c>
      <c r="AH3" s="1171" t="s">
        <v>119</v>
      </c>
      <c r="AI3" s="1171" t="s">
        <v>120</v>
      </c>
      <c r="AJ3" s="1171" t="s">
        <v>121</v>
      </c>
    </row>
    <row r="4" spans="1:36" s="569" customFormat="1" ht="13.5" thickBot="1">
      <c r="C4" s="1166"/>
      <c r="D4" s="599" t="s">
        <v>134</v>
      </c>
      <c r="E4" s="599" t="s">
        <v>135</v>
      </c>
      <c r="F4" s="599" t="s">
        <v>136</v>
      </c>
      <c r="G4" s="599" t="s">
        <v>137</v>
      </c>
      <c r="H4" s="599" t="s">
        <v>138</v>
      </c>
      <c r="I4" s="599" t="s">
        <v>139</v>
      </c>
      <c r="J4" s="599" t="s">
        <v>140</v>
      </c>
      <c r="K4" s="599" t="s">
        <v>141</v>
      </c>
      <c r="L4" s="599" t="s">
        <v>142</v>
      </c>
      <c r="M4" s="599" t="s">
        <v>143</v>
      </c>
      <c r="N4" s="599" t="s">
        <v>144</v>
      </c>
      <c r="O4" s="599" t="s">
        <v>145</v>
      </c>
      <c r="P4" s="1169"/>
      <c r="Q4" s="599" t="s">
        <v>134</v>
      </c>
      <c r="R4" s="599" t="s">
        <v>135</v>
      </c>
      <c r="S4" s="599" t="s">
        <v>136</v>
      </c>
      <c r="T4" s="599" t="s">
        <v>137</v>
      </c>
      <c r="U4" s="599" t="s">
        <v>138</v>
      </c>
      <c r="V4" s="599" t="s">
        <v>139</v>
      </c>
      <c r="W4" s="599" t="s">
        <v>140</v>
      </c>
      <c r="X4" s="599" t="s">
        <v>141</v>
      </c>
      <c r="Y4" s="599" t="s">
        <v>142</v>
      </c>
      <c r="Z4" s="599" t="s">
        <v>143</v>
      </c>
      <c r="AA4" s="599" t="s">
        <v>144</v>
      </c>
      <c r="AB4" s="599" t="s">
        <v>145</v>
      </c>
      <c r="AC4" s="1172"/>
      <c r="AD4" s="1172"/>
      <c r="AE4" s="1172"/>
      <c r="AF4" s="1172"/>
      <c r="AG4" s="1172"/>
      <c r="AH4" s="1172"/>
      <c r="AI4" s="1172"/>
      <c r="AJ4" s="1172"/>
    </row>
    <row r="5" spans="1:36" ht="13.5" thickBot="1">
      <c r="B5" s="609" t="s">
        <v>146</v>
      </c>
      <c r="C5" s="610"/>
      <c r="D5" s="610"/>
      <c r="E5" s="610"/>
      <c r="F5" s="610"/>
      <c r="G5" s="610"/>
      <c r="H5" s="610"/>
      <c r="I5" s="610"/>
      <c r="J5" s="610"/>
      <c r="K5" s="610"/>
      <c r="L5" s="610"/>
      <c r="M5" s="610"/>
      <c r="N5" s="610"/>
      <c r="O5" s="610"/>
      <c r="P5" s="610"/>
      <c r="Q5" s="610"/>
      <c r="R5" s="610"/>
      <c r="S5" s="610"/>
      <c r="T5" s="610"/>
      <c r="U5" s="610"/>
      <c r="V5" s="610"/>
      <c r="W5" s="610"/>
      <c r="X5" s="610"/>
      <c r="Y5" s="610"/>
      <c r="Z5" s="611"/>
      <c r="AA5" s="611"/>
      <c r="AB5" s="611"/>
      <c r="AC5" s="610"/>
      <c r="AD5" s="610"/>
      <c r="AE5" s="610"/>
      <c r="AF5" s="610"/>
      <c r="AG5" s="610"/>
      <c r="AH5" s="610"/>
      <c r="AI5" s="610"/>
      <c r="AJ5" s="612"/>
    </row>
    <row r="6" spans="1:36">
      <c r="B6" s="575" t="s">
        <v>467</v>
      </c>
      <c r="C6" s="573">
        <f>SUM(D6:O6)</f>
        <v>0</v>
      </c>
      <c r="D6" s="600">
        <v>0</v>
      </c>
      <c r="E6" s="600">
        <v>0</v>
      </c>
      <c r="F6" s="600">
        <v>0</v>
      </c>
      <c r="G6" s="600">
        <v>0</v>
      </c>
      <c r="H6" s="600">
        <f>IF(Interface!E7=Validation!H66,Interface!J10*Interface!I7,0)</f>
        <v>0</v>
      </c>
      <c r="I6" s="600">
        <f>IF(Interface!$E$7=Validation!$H$66,Interface!J10*Interface!I7,0)</f>
        <v>0</v>
      </c>
      <c r="J6" s="600">
        <f>I6</f>
        <v>0</v>
      </c>
      <c r="K6" s="600">
        <f t="shared" ref="K6:O6" si="0">J6</f>
        <v>0</v>
      </c>
      <c r="L6" s="600">
        <f t="shared" si="0"/>
        <v>0</v>
      </c>
      <c r="M6" s="600">
        <f t="shared" si="0"/>
        <v>0</v>
      </c>
      <c r="N6" s="600">
        <f t="shared" si="0"/>
        <v>0</v>
      </c>
      <c r="O6" s="600">
        <f t="shared" si="0"/>
        <v>0</v>
      </c>
      <c r="P6" s="573">
        <f>SUM(Q6:AB6)</f>
        <v>0</v>
      </c>
      <c r="Q6" s="600">
        <f>O6*'Production Assumptions'!$C$6</f>
        <v>0</v>
      </c>
      <c r="R6" s="600">
        <f>K6*'Production Assumptions'!$C$6</f>
        <v>0</v>
      </c>
      <c r="S6" s="600">
        <f>L6*'Production Assumptions'!$C$6</f>
        <v>0</v>
      </c>
      <c r="T6" s="600">
        <f>M6*'Production Assumptions'!$C$6</f>
        <v>0</v>
      </c>
      <c r="U6" s="600">
        <f>N6*'Production Assumptions'!$C$6</f>
        <v>0</v>
      </c>
      <c r="V6" s="600">
        <f>O6*'Production Assumptions'!$C$6</f>
        <v>0</v>
      </c>
      <c r="W6" s="600">
        <f t="shared" ref="W6:AB6" si="1">Q6</f>
        <v>0</v>
      </c>
      <c r="X6" s="600">
        <f t="shared" si="1"/>
        <v>0</v>
      </c>
      <c r="Y6" s="600">
        <f t="shared" si="1"/>
        <v>0</v>
      </c>
      <c r="Z6" s="600">
        <f t="shared" si="1"/>
        <v>0</v>
      </c>
      <c r="AA6" s="600">
        <f t="shared" si="1"/>
        <v>0</v>
      </c>
      <c r="AB6" s="600">
        <f t="shared" si="1"/>
        <v>0</v>
      </c>
      <c r="AC6" s="573">
        <f>P6*'Production Assumptions'!$C$6</f>
        <v>0</v>
      </c>
      <c r="AD6" s="573">
        <f>($AC6)*('Production Assumptions'!$C$6)^AC$2</f>
        <v>0</v>
      </c>
      <c r="AE6" s="573">
        <f>($AC6)*('Production Assumptions'!$C$6)^AD$2</f>
        <v>0</v>
      </c>
      <c r="AF6" s="573">
        <f>($AC6)*('Production Assumptions'!$C$6)^AE$2</f>
        <v>0</v>
      </c>
      <c r="AG6" s="573">
        <f>($AC6)*('Production Assumptions'!$C$6)^AF$2</f>
        <v>0</v>
      </c>
      <c r="AH6" s="573">
        <f>($AC6)*('Production Assumptions'!$C$6)^AG$2</f>
        <v>0</v>
      </c>
      <c r="AI6" s="573">
        <f>($AC6)*('Production Assumptions'!$C$6)^AH$2</f>
        <v>0</v>
      </c>
      <c r="AJ6" s="573">
        <f>($AC6)*('Production Assumptions'!$C$6)^AI$2</f>
        <v>0</v>
      </c>
    </row>
    <row r="7" spans="1:36">
      <c r="B7" s="575" t="s">
        <v>368</v>
      </c>
      <c r="C7" s="573">
        <f>SUM(D7:O7)</f>
        <v>0</v>
      </c>
      <c r="D7" s="600">
        <v>0</v>
      </c>
      <c r="E7" s="600">
        <v>0</v>
      </c>
      <c r="F7" s="600">
        <v>0</v>
      </c>
      <c r="G7" s="600">
        <v>0</v>
      </c>
      <c r="H7" s="600">
        <f>IF(Interface!E7=Validation!H67,Interface!J10*Interface!I7,0)</f>
        <v>0</v>
      </c>
      <c r="I7" s="600">
        <f>H7</f>
        <v>0</v>
      </c>
      <c r="J7" s="600">
        <f t="shared" ref="J7:O7" si="2">I7</f>
        <v>0</v>
      </c>
      <c r="K7" s="600">
        <f t="shared" si="2"/>
        <v>0</v>
      </c>
      <c r="L7" s="600">
        <f t="shared" si="2"/>
        <v>0</v>
      </c>
      <c r="M7" s="600">
        <f t="shared" si="2"/>
        <v>0</v>
      </c>
      <c r="N7" s="600">
        <f t="shared" si="2"/>
        <v>0</v>
      </c>
      <c r="O7" s="600">
        <f t="shared" si="2"/>
        <v>0</v>
      </c>
      <c r="P7" s="573">
        <f>SUM(Q7:AB7)</f>
        <v>0</v>
      </c>
      <c r="Q7" s="600">
        <f>O7*'Production Assumptions'!$C$6</f>
        <v>0</v>
      </c>
      <c r="R7" s="600">
        <f>Q7</f>
        <v>0</v>
      </c>
      <c r="S7" s="600">
        <f t="shared" ref="S7:AB7" si="3">R7</f>
        <v>0</v>
      </c>
      <c r="T7" s="600">
        <f t="shared" si="3"/>
        <v>0</v>
      </c>
      <c r="U7" s="600">
        <f t="shared" si="3"/>
        <v>0</v>
      </c>
      <c r="V7" s="600">
        <f t="shared" si="3"/>
        <v>0</v>
      </c>
      <c r="W7" s="600">
        <f t="shared" si="3"/>
        <v>0</v>
      </c>
      <c r="X7" s="600">
        <f t="shared" si="3"/>
        <v>0</v>
      </c>
      <c r="Y7" s="600">
        <f t="shared" si="3"/>
        <v>0</v>
      </c>
      <c r="Z7" s="600">
        <f t="shared" si="3"/>
        <v>0</v>
      </c>
      <c r="AA7" s="600">
        <f t="shared" si="3"/>
        <v>0</v>
      </c>
      <c r="AB7" s="600">
        <f t="shared" si="3"/>
        <v>0</v>
      </c>
      <c r="AC7" s="573">
        <f>P7*'Production Assumptions'!$C$6</f>
        <v>0</v>
      </c>
      <c r="AD7" s="573">
        <f>($AC7)*('Production Assumptions'!$C$6)^AC$2</f>
        <v>0</v>
      </c>
      <c r="AE7" s="573">
        <f>($AC7)*('Production Assumptions'!$C$6)^AD$2</f>
        <v>0</v>
      </c>
      <c r="AF7" s="573">
        <f>($AC7)*('Production Assumptions'!$C$6)^AE$2</f>
        <v>0</v>
      </c>
      <c r="AG7" s="573">
        <f>($AC7)*('Production Assumptions'!$C$6)^AF$2</f>
        <v>0</v>
      </c>
      <c r="AH7" s="573">
        <f>($AC7)*('Production Assumptions'!$C$6)^AG$2</f>
        <v>0</v>
      </c>
      <c r="AI7" s="573">
        <f>($AC7)*('Production Assumptions'!$C$6)^AH$2</f>
        <v>0</v>
      </c>
      <c r="AJ7" s="573">
        <f>($AC7)*('Production Assumptions'!$C$6)^AI$2</f>
        <v>0</v>
      </c>
    </row>
    <row r="8" spans="1:36">
      <c r="B8" s="575" t="s">
        <v>397</v>
      </c>
      <c r="C8" s="573">
        <f>SUM(D8:O8)</f>
        <v>0</v>
      </c>
      <c r="D8" s="600">
        <v>0</v>
      </c>
      <c r="E8" s="600">
        <v>0</v>
      </c>
      <c r="F8" s="600">
        <v>0</v>
      </c>
      <c r="G8" s="600">
        <v>0</v>
      </c>
      <c r="H8" s="600">
        <f>IF(Interface!E7=Validation!H68,Interface!J10*Interface!I7,0)</f>
        <v>0</v>
      </c>
      <c r="I8" s="600">
        <f>H8</f>
        <v>0</v>
      </c>
      <c r="J8" s="600">
        <f t="shared" ref="J8:O8" si="4">I8</f>
        <v>0</v>
      </c>
      <c r="K8" s="600">
        <f t="shared" si="4"/>
        <v>0</v>
      </c>
      <c r="L8" s="600">
        <f t="shared" si="4"/>
        <v>0</v>
      </c>
      <c r="M8" s="600">
        <f t="shared" si="4"/>
        <v>0</v>
      </c>
      <c r="N8" s="600">
        <f t="shared" si="4"/>
        <v>0</v>
      </c>
      <c r="O8" s="600">
        <f t="shared" si="4"/>
        <v>0</v>
      </c>
      <c r="P8" s="573">
        <f>SUM(Q8:AB8)</f>
        <v>0</v>
      </c>
      <c r="Q8" s="600">
        <f>O8*'Production Assumptions'!$C$6</f>
        <v>0</v>
      </c>
      <c r="R8" s="600">
        <f>Q8</f>
        <v>0</v>
      </c>
      <c r="S8" s="600">
        <f t="shared" ref="S8:AB8" si="5">R8</f>
        <v>0</v>
      </c>
      <c r="T8" s="600">
        <f t="shared" si="5"/>
        <v>0</v>
      </c>
      <c r="U8" s="600">
        <f t="shared" si="5"/>
        <v>0</v>
      </c>
      <c r="V8" s="600">
        <f t="shared" si="5"/>
        <v>0</v>
      </c>
      <c r="W8" s="600">
        <f t="shared" si="5"/>
        <v>0</v>
      </c>
      <c r="X8" s="600">
        <f t="shared" si="5"/>
        <v>0</v>
      </c>
      <c r="Y8" s="600">
        <f t="shared" si="5"/>
        <v>0</v>
      </c>
      <c r="Z8" s="600">
        <f t="shared" si="5"/>
        <v>0</v>
      </c>
      <c r="AA8" s="600">
        <f t="shared" si="5"/>
        <v>0</v>
      </c>
      <c r="AB8" s="600">
        <f t="shared" si="5"/>
        <v>0</v>
      </c>
      <c r="AC8" s="573">
        <f>P8*'Production Assumptions'!$C$6</f>
        <v>0</v>
      </c>
      <c r="AD8" s="573">
        <f>($AC8)*('Production Assumptions'!$C$6)^AC$2</f>
        <v>0</v>
      </c>
      <c r="AE8" s="573">
        <f>($AC8)*('Production Assumptions'!$C$6)^AD$2</f>
        <v>0</v>
      </c>
      <c r="AF8" s="573">
        <f>($AC8)*('Production Assumptions'!$C$6)^AE$2</f>
        <v>0</v>
      </c>
      <c r="AG8" s="573">
        <f>($AC8)*('Production Assumptions'!$C$6)^AF$2</f>
        <v>0</v>
      </c>
      <c r="AH8" s="573">
        <f>($AC8)*('Production Assumptions'!$C$6)^AG$2</f>
        <v>0</v>
      </c>
      <c r="AI8" s="573">
        <f>($AC8)*('Production Assumptions'!$C$6)^AH$2</f>
        <v>0</v>
      </c>
      <c r="AJ8" s="573">
        <f>($AC8)*('Production Assumptions'!$C$6)^AI$2</f>
        <v>0</v>
      </c>
    </row>
    <row r="9" spans="1:36" ht="13.5" thickBot="1">
      <c r="B9" s="575" t="s">
        <v>468</v>
      </c>
      <c r="C9" s="573">
        <f>SUM(D9:O9)</f>
        <v>0</v>
      </c>
      <c r="D9" s="600">
        <v>0</v>
      </c>
      <c r="E9" s="600">
        <v>0</v>
      </c>
      <c r="F9" s="600">
        <v>0</v>
      </c>
      <c r="G9" s="600">
        <v>0</v>
      </c>
      <c r="H9" s="600">
        <f>IF(Interface!E7=Validation!H69,Interface!J10*Interface!I7,0)</f>
        <v>0</v>
      </c>
      <c r="I9" s="600">
        <f>H9</f>
        <v>0</v>
      </c>
      <c r="J9" s="600">
        <f t="shared" ref="J9:O9" si="6">I9</f>
        <v>0</v>
      </c>
      <c r="K9" s="600">
        <f t="shared" si="6"/>
        <v>0</v>
      </c>
      <c r="L9" s="600">
        <f t="shared" si="6"/>
        <v>0</v>
      </c>
      <c r="M9" s="600">
        <f t="shared" si="6"/>
        <v>0</v>
      </c>
      <c r="N9" s="600">
        <f t="shared" si="6"/>
        <v>0</v>
      </c>
      <c r="O9" s="600">
        <f t="shared" si="6"/>
        <v>0</v>
      </c>
      <c r="P9" s="573">
        <f>SUM(Q9:AB9)</f>
        <v>0</v>
      </c>
      <c r="Q9" s="600">
        <f>O9*'Production Assumptions'!$C$6</f>
        <v>0</v>
      </c>
      <c r="R9" s="600">
        <f>Q9</f>
        <v>0</v>
      </c>
      <c r="S9" s="600">
        <f t="shared" ref="S9:AB9" si="7">R9</f>
        <v>0</v>
      </c>
      <c r="T9" s="600">
        <f t="shared" si="7"/>
        <v>0</v>
      </c>
      <c r="U9" s="600">
        <f t="shared" si="7"/>
        <v>0</v>
      </c>
      <c r="V9" s="600">
        <f t="shared" si="7"/>
        <v>0</v>
      </c>
      <c r="W9" s="600">
        <f t="shared" si="7"/>
        <v>0</v>
      </c>
      <c r="X9" s="600">
        <f t="shared" si="7"/>
        <v>0</v>
      </c>
      <c r="Y9" s="600">
        <f t="shared" si="7"/>
        <v>0</v>
      </c>
      <c r="Z9" s="600">
        <f t="shared" si="7"/>
        <v>0</v>
      </c>
      <c r="AA9" s="600">
        <f t="shared" si="7"/>
        <v>0</v>
      </c>
      <c r="AB9" s="600">
        <f t="shared" si="7"/>
        <v>0</v>
      </c>
      <c r="AC9" s="573">
        <f>P9*'Production Assumptions'!$C$6</f>
        <v>0</v>
      </c>
      <c r="AD9" s="573">
        <f>($AC9)*('Production Assumptions'!$C$6)^AC$2</f>
        <v>0</v>
      </c>
      <c r="AE9" s="573">
        <f>($AC9)*('Production Assumptions'!$C$6)^AD$2</f>
        <v>0</v>
      </c>
      <c r="AF9" s="573">
        <f>($AC9)*('Production Assumptions'!$C$6)^AE$2</f>
        <v>0</v>
      </c>
      <c r="AG9" s="573">
        <f>($AC9)*('Production Assumptions'!$C$6)^AF$2</f>
        <v>0</v>
      </c>
      <c r="AH9" s="573">
        <f>($AC9)*('Production Assumptions'!$C$6)^AG$2</f>
        <v>0</v>
      </c>
      <c r="AI9" s="573">
        <f>($AC9)*('Production Assumptions'!$C$6)^AH$2</f>
        <v>0</v>
      </c>
      <c r="AJ9" s="573">
        <f>($AC9)*('Production Assumptions'!$C$6)^AI$2</f>
        <v>0</v>
      </c>
    </row>
    <row r="10" spans="1:36" ht="13.5" thickBot="1">
      <c r="B10" s="561" t="s">
        <v>147</v>
      </c>
      <c r="C10" s="576">
        <f>SUM(D10:O10)</f>
        <v>0</v>
      </c>
      <c r="D10" s="577">
        <f t="shared" ref="D10:AJ10" si="8">SUM(D6:D9)</f>
        <v>0</v>
      </c>
      <c r="E10" s="577">
        <f t="shared" si="8"/>
        <v>0</v>
      </c>
      <c r="F10" s="577">
        <f t="shared" si="8"/>
        <v>0</v>
      </c>
      <c r="G10" s="577">
        <f t="shared" si="8"/>
        <v>0</v>
      </c>
      <c r="H10" s="577">
        <f t="shared" si="8"/>
        <v>0</v>
      </c>
      <c r="I10" s="577">
        <f t="shared" si="8"/>
        <v>0</v>
      </c>
      <c r="J10" s="577">
        <f t="shared" si="8"/>
        <v>0</v>
      </c>
      <c r="K10" s="577">
        <f t="shared" si="8"/>
        <v>0</v>
      </c>
      <c r="L10" s="577">
        <f t="shared" si="8"/>
        <v>0</v>
      </c>
      <c r="M10" s="577">
        <f t="shared" si="8"/>
        <v>0</v>
      </c>
      <c r="N10" s="577">
        <f t="shared" si="8"/>
        <v>0</v>
      </c>
      <c r="O10" s="577">
        <f t="shared" si="8"/>
        <v>0</v>
      </c>
      <c r="P10" s="576">
        <f t="shared" si="8"/>
        <v>0</v>
      </c>
      <c r="Q10" s="577">
        <f t="shared" si="8"/>
        <v>0</v>
      </c>
      <c r="R10" s="577">
        <f t="shared" si="8"/>
        <v>0</v>
      </c>
      <c r="S10" s="577">
        <f t="shared" si="8"/>
        <v>0</v>
      </c>
      <c r="T10" s="577">
        <f t="shared" si="8"/>
        <v>0</v>
      </c>
      <c r="U10" s="577">
        <f t="shared" si="8"/>
        <v>0</v>
      </c>
      <c r="V10" s="577">
        <f t="shared" si="8"/>
        <v>0</v>
      </c>
      <c r="W10" s="577">
        <f t="shared" si="8"/>
        <v>0</v>
      </c>
      <c r="X10" s="577">
        <f t="shared" si="8"/>
        <v>0</v>
      </c>
      <c r="Y10" s="577">
        <f t="shared" si="8"/>
        <v>0</v>
      </c>
      <c r="Z10" s="577">
        <f t="shared" si="8"/>
        <v>0</v>
      </c>
      <c r="AA10" s="577">
        <f t="shared" si="8"/>
        <v>0</v>
      </c>
      <c r="AB10" s="577">
        <f t="shared" si="8"/>
        <v>0</v>
      </c>
      <c r="AC10" s="576">
        <f t="shared" si="8"/>
        <v>0</v>
      </c>
      <c r="AD10" s="576">
        <f t="shared" si="8"/>
        <v>0</v>
      </c>
      <c r="AE10" s="576">
        <f t="shared" si="8"/>
        <v>0</v>
      </c>
      <c r="AF10" s="576">
        <f t="shared" si="8"/>
        <v>0</v>
      </c>
      <c r="AG10" s="576">
        <f t="shared" si="8"/>
        <v>0</v>
      </c>
      <c r="AH10" s="576">
        <f t="shared" si="8"/>
        <v>0</v>
      </c>
      <c r="AI10" s="576">
        <f t="shared" si="8"/>
        <v>0</v>
      </c>
      <c r="AJ10" s="576">
        <f t="shared" si="8"/>
        <v>0</v>
      </c>
    </row>
    <row r="11" spans="1:36" ht="13.5" thickBot="1">
      <c r="C11" s="578"/>
      <c r="D11" s="578"/>
      <c r="E11" s="574"/>
      <c r="F11" s="574"/>
      <c r="G11" s="574"/>
      <c r="H11" s="574"/>
      <c r="I11" s="574"/>
      <c r="J11" s="574"/>
      <c r="K11" s="574"/>
      <c r="L11" s="574"/>
      <c r="M11" s="574"/>
      <c r="N11" s="574"/>
      <c r="O11" s="574"/>
      <c r="P11" s="574"/>
      <c r="Q11" s="574"/>
      <c r="R11" s="572"/>
      <c r="S11" s="572"/>
      <c r="T11" s="572"/>
      <c r="U11" s="572"/>
      <c r="V11" s="572"/>
      <c r="W11" s="572"/>
      <c r="X11" s="572"/>
      <c r="Y11" s="572"/>
      <c r="Z11" s="572"/>
      <c r="AA11" s="572"/>
      <c r="AB11" s="572"/>
      <c r="AC11" s="572"/>
      <c r="AD11" s="572"/>
      <c r="AE11" s="572"/>
      <c r="AF11" s="572"/>
      <c r="AG11" s="572"/>
      <c r="AH11" s="572"/>
      <c r="AI11" s="572"/>
      <c r="AJ11" s="572"/>
    </row>
    <row r="12" spans="1:36" s="468" customFormat="1" ht="13.5" thickBot="1">
      <c r="B12" s="579" t="s">
        <v>148</v>
      </c>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1"/>
    </row>
    <row r="13" spans="1:36" s="468" customFormat="1">
      <c r="B13" s="571" t="s">
        <v>481</v>
      </c>
      <c r="C13" s="584">
        <f>SUM(D13:O13)</f>
        <v>15800</v>
      </c>
      <c r="D13" s="601">
        <f>'Technical Information (RAS)'!G20+'Technical Information (RAS)'!G21</f>
        <v>15800</v>
      </c>
      <c r="E13" s="601">
        <v>0</v>
      </c>
      <c r="F13" s="601">
        <v>0</v>
      </c>
      <c r="G13" s="601">
        <v>0</v>
      </c>
      <c r="H13" s="601">
        <f>IF(OR(Interface!$E$7=Validation!$H$66,Interface!$E$7=Validation!$H$67,AND(Interface!$E$7=Validation!$H$68,Interface!$E$11=Validation!$H$76)),0,G13)</f>
        <v>0</v>
      </c>
      <c r="I13" s="601">
        <f>IF(OR(Interface!$E$7=Validation!$H$66,Interface!$E$7=Validation!$H$67,AND(Interface!$E$7=Validation!$H$68,Interface!$E$11=Validation!$H$76)),0,H13)</f>
        <v>0</v>
      </c>
      <c r="J13" s="601">
        <f>IF(OR(Interface!$E$7=Validation!$H$66,Interface!$E$7=Validation!$H$67,AND(Interface!$E$7=Validation!$H$68,Interface!$E$11=Validation!$H$76)),0,I13)</f>
        <v>0</v>
      </c>
      <c r="K13" s="601">
        <f>IF(OR(Interface!$E$7=Validation!$H$66,Interface!$E$7=Validation!$H$67,AND(Interface!$E$7=Validation!$H$68,Interface!$E$11=Validation!$H$76),AND(Interface!$E$7=Validation!$H$68,Interface!$E$11=Validation!$H$77)),0,J13)</f>
        <v>0</v>
      </c>
      <c r="L13" s="601">
        <f>IF(OR(Interface!$E$7=Validation!$H$66,Interface!$E$7=Validation!$H$67,AND(Interface!$E$7=Validation!$H$68,Interface!$E$11=Validation!$H$76),AND(Interface!$E$7=Validation!$H$68,Interface!$E$11=Validation!$H$77)),0,K13)</f>
        <v>0</v>
      </c>
      <c r="M13" s="601">
        <f>IF(OR(Interface!$E$7=Validation!$H$66,Interface!$E$7=Validation!$H$67,AND(Interface!$E$7=Validation!$H$68,Interface!$E$11=Validation!$H$76),AND(Interface!$E$7=Validation!$H$68,Interface!$E$11=Validation!$H$77)),0,L13)</f>
        <v>0</v>
      </c>
      <c r="N13" s="601">
        <f>IF(OR(Interface!$E$7=Validation!$H$66,Interface!$E$7=Validation!$H$67,AND(Interface!$E$7=Validation!$H$68,Interface!$E$11=Validation!$H$76),AND(Interface!$E$7=Validation!$H$68,Interface!$E$11=Validation!$H$77),AND(Interface!$E$7=Validation!$H$68,Interface!$E$11=Validation!$H$75),Interface!$E$7=Validation!$H$69),0,M13)</f>
        <v>0</v>
      </c>
      <c r="O13" s="601">
        <f>IF(OR(Interface!$E$7=Validation!$H$66,Interface!$E$7=Validation!$H$67,AND(Interface!$E$7=Validation!$H$68,Interface!$E$11=Validation!$H$76),AND(Interface!$E$7=Validation!$H$68,Interface!$E$11=Validation!$H$77),AND(Interface!$E$7=Validation!$H$68,Interface!$E$11=Validation!$H$75),Interface!$E$7=Validation!$H$69),0,N13)</f>
        <v>0</v>
      </c>
      <c r="P13" s="583">
        <f>SUM(Q13:AB13)</f>
        <v>0</v>
      </c>
      <c r="Q13" s="602"/>
      <c r="R13" s="603"/>
      <c r="S13" s="603"/>
      <c r="T13" s="603"/>
      <c r="U13" s="603"/>
      <c r="V13" s="603"/>
      <c r="W13" s="603"/>
      <c r="X13" s="603"/>
      <c r="Y13" s="603"/>
      <c r="Z13" s="603"/>
      <c r="AA13" s="603"/>
      <c r="AB13" s="604"/>
      <c r="AC13" s="583">
        <f>$D$13*('Production Assumptions'!$C$6)^AB2</f>
        <v>16605.8</v>
      </c>
      <c r="AD13" s="583"/>
      <c r="AE13" s="583"/>
      <c r="AF13" s="583"/>
      <c r="AG13" s="583">
        <f>$P$13*('Production Assumptions'!$C$6)^AF2</f>
        <v>0</v>
      </c>
      <c r="AH13" s="583">
        <f>$P$13*('Production Assumptions'!$C$6)^AG2</f>
        <v>0</v>
      </c>
      <c r="AI13" s="583">
        <f>$P$13*('Production Assumptions'!$C$6)^AH2</f>
        <v>0</v>
      </c>
      <c r="AJ13" s="583">
        <f>$P$13*('Production Assumptions'!$C$6)^AI2</f>
        <v>0</v>
      </c>
    </row>
    <row r="14" spans="1:36" s="468" customFormat="1">
      <c r="B14" s="559" t="s">
        <v>149</v>
      </c>
      <c r="C14" s="584" t="e">
        <f>SUM(D14:O14)</f>
        <v>#VALUE!</v>
      </c>
      <c r="D14" s="601" t="e">
        <f>'FEED and BIOMASS'!C19</f>
        <v>#VALUE!</v>
      </c>
      <c r="E14" s="601" t="e">
        <f>D14</f>
        <v>#VALUE!</v>
      </c>
      <c r="F14" s="601" t="e">
        <f>E14</f>
        <v>#VALUE!</v>
      </c>
      <c r="G14" s="601" t="e">
        <f t="shared" ref="G14:O14" si="9">F14</f>
        <v>#VALUE!</v>
      </c>
      <c r="H14" s="601" t="e">
        <f t="shared" si="9"/>
        <v>#VALUE!</v>
      </c>
      <c r="I14" s="601" t="e">
        <f t="shared" si="9"/>
        <v>#VALUE!</v>
      </c>
      <c r="J14" s="601" t="e">
        <f t="shared" si="9"/>
        <v>#VALUE!</v>
      </c>
      <c r="K14" s="601" t="e">
        <f t="shared" si="9"/>
        <v>#VALUE!</v>
      </c>
      <c r="L14" s="601" t="e">
        <f t="shared" si="9"/>
        <v>#VALUE!</v>
      </c>
      <c r="M14" s="601" t="e">
        <f t="shared" si="9"/>
        <v>#VALUE!</v>
      </c>
      <c r="N14" s="601" t="e">
        <f t="shared" si="9"/>
        <v>#VALUE!</v>
      </c>
      <c r="O14" s="601" t="e">
        <f t="shared" si="9"/>
        <v>#VALUE!</v>
      </c>
      <c r="P14" s="584" t="e">
        <f>SUM(Q14:AB14)</f>
        <v>#VALUE!</v>
      </c>
      <c r="Q14" s="605" t="e">
        <f>O14*'Production Assumptions'!C6</f>
        <v>#VALUE!</v>
      </c>
      <c r="R14" s="601" t="e">
        <f>Q14</f>
        <v>#VALUE!</v>
      </c>
      <c r="S14" s="601" t="e">
        <f t="shared" ref="S14:AB14" si="10">R14</f>
        <v>#VALUE!</v>
      </c>
      <c r="T14" s="601" t="e">
        <f t="shared" si="10"/>
        <v>#VALUE!</v>
      </c>
      <c r="U14" s="601" t="e">
        <f t="shared" si="10"/>
        <v>#VALUE!</v>
      </c>
      <c r="V14" s="601" t="e">
        <f t="shared" si="10"/>
        <v>#VALUE!</v>
      </c>
      <c r="W14" s="601" t="e">
        <f t="shared" si="10"/>
        <v>#VALUE!</v>
      </c>
      <c r="X14" s="601" t="e">
        <f t="shared" si="10"/>
        <v>#VALUE!</v>
      </c>
      <c r="Y14" s="601" t="e">
        <f t="shared" si="10"/>
        <v>#VALUE!</v>
      </c>
      <c r="Z14" s="601" t="e">
        <f t="shared" si="10"/>
        <v>#VALUE!</v>
      </c>
      <c r="AA14" s="601" t="e">
        <f t="shared" si="10"/>
        <v>#VALUE!</v>
      </c>
      <c r="AB14" s="601" t="e">
        <f t="shared" si="10"/>
        <v>#VALUE!</v>
      </c>
      <c r="AC14" s="584" t="e">
        <f>($AB$14*('Production Assumptions'!$C$6)^AB2)*12</f>
        <v>#VALUE!</v>
      </c>
      <c r="AD14" s="584" t="e">
        <f>($AB$14*('Production Assumptions'!$C$6)^AC2)*12</f>
        <v>#VALUE!</v>
      </c>
      <c r="AE14" s="584" t="e">
        <f>($AB$14*('Production Assumptions'!$C$6)^AD2)*12</f>
        <v>#VALUE!</v>
      </c>
      <c r="AF14" s="584" t="e">
        <f>($AB$14*('Production Assumptions'!$C$6)^AE2)*12</f>
        <v>#VALUE!</v>
      </c>
      <c r="AG14" s="584" t="e">
        <f>($AB$14*('Production Assumptions'!$C$6)^AF2)*12</f>
        <v>#VALUE!</v>
      </c>
      <c r="AH14" s="584" t="e">
        <f>($AB$14*('Production Assumptions'!$C$6)^AG2)*12</f>
        <v>#VALUE!</v>
      </c>
      <c r="AI14" s="584" t="e">
        <f>($AB$14*('Production Assumptions'!$C$6)^AH2)*12</f>
        <v>#VALUE!</v>
      </c>
      <c r="AJ14" s="584" t="e">
        <f>($AB$14*('Production Assumptions'!$C$6)^AI2)*12</f>
        <v>#VALUE!</v>
      </c>
    </row>
    <row r="15" spans="1:36" s="468" customFormat="1">
      <c r="B15" s="559" t="s">
        <v>480</v>
      </c>
      <c r="C15" s="584" t="e">
        <f>SUM(D15:O15)</f>
        <v>#VALUE!</v>
      </c>
      <c r="D15" s="601">
        <v>0</v>
      </c>
      <c r="E15" s="601">
        <v>0</v>
      </c>
      <c r="F15" s="601">
        <v>0</v>
      </c>
      <c r="G15" s="601" t="e">
        <f>'Production Assumptions'!G11</f>
        <v>#VALUE!</v>
      </c>
      <c r="H15" s="601" t="e">
        <f>IF(AND(Interface!$H$7="International Markets",Interface!$E$19=Validation!$D$42),'Production Assumptions'!$C$76,IF(AND(Interface!$H$7=Validation!$H$3,Interface!$E$19=Validation!$D$42),'Production Assumptions'!$C$62,G15))</f>
        <v>#VALUE!</v>
      </c>
      <c r="I15" s="601" t="e">
        <f>IF(AND(Interface!$H$7="International Markets",Interface!$E$19=Validation!$D$43),'Production Assumptions'!$C$76,IF(AND(Interface!$H$7=Validation!$H$3,Interface!$E$19=Validation!$D$43),'Production Assumptions'!$C$62,H15))</f>
        <v>#VALUE!</v>
      </c>
      <c r="J15" s="601" t="e">
        <f>IF(AND(Interface!$H$7="International Markets",Interface!$E$19=Validation!$D$44),'Production Assumptions'!$C$76,IF(AND(Interface!$H$7=Validation!$H$3,Interface!$E$19=Validation!$D$44),'Production Assumptions'!$C$62,I15))</f>
        <v>#VALUE!</v>
      </c>
      <c r="K15" s="601" t="e">
        <f>IF(AND(Interface!$H$7="International Markets",Interface!$E$19=Validation!$D$45),'Production Assumptions'!$C$76,IF(AND(Interface!$H$7=Validation!$H$3,Interface!$E$19=Validation!$D$45),'Production Assumptions'!$C$62,J15))</f>
        <v>#VALUE!</v>
      </c>
      <c r="L15" s="601" t="e">
        <f>IF(AND(Interface!$H$7="International Markets",Interface!$E$19=Validation!D46),'Production Assumptions'!$C$76,IF(AND(Interface!$H$7=Validation!$H$3,Interface!$E$19=Validation!D46),'Production Assumptions'!$C$62,K15))</f>
        <v>#VALUE!</v>
      </c>
      <c r="M15" s="601" t="e">
        <f>IF(AND(Interface!$H$7="International Markets",Interface!$E$19=Validation!$D$47),'Production Assumptions'!$C$76,IF(AND(Interface!$H$7=Validation!$H$3,Interface!$E$19=Validation!$D$47),'Production Assumptions'!$C$62,L15))</f>
        <v>#VALUE!</v>
      </c>
      <c r="N15" s="601" t="e">
        <f>IF(AND(Interface!$H$7="International Markets",Interface!$E$19=Validation!$D$48),'Production Assumptions'!$C$76,IF(AND(Interface!$H$7=Validation!$H$3,Interface!$E$19=Validation!$D$48),'Production Assumptions'!$C$62,M15))</f>
        <v>#VALUE!</v>
      </c>
      <c r="O15" s="601" t="e">
        <f>IF(AND(Interface!$H$7="International Markets",Interface!$E$19=Validation!$D$49),'Production Assumptions'!$C$76,IF(AND(Interface!$H$7=Validation!$H$3,Interface!$E$19=Validation!$D$49),'Production Assumptions'!$C$62,N15))</f>
        <v>#VALUE!</v>
      </c>
      <c r="P15" s="584" t="e">
        <f>SUM(Q15:AB15)</f>
        <v>#VALUE!</v>
      </c>
      <c r="Q15" s="605" t="e">
        <f>IF(AND(Interface!$H$7="International Markets",Interface!$E$19=Validation!$D$50),'Production Assumptions'!$C$76,IF(AND(Interface!$H$7=Validation!$H$3,Interface!$E$19=Validation!$D$50),'Production Assumptions'!$C$62,O15))*'Production Assumptions'!$C$6^'OPEX - RAS'!$P$2</f>
        <v>#VALUE!</v>
      </c>
      <c r="R15" s="601" t="e">
        <f>Q15</f>
        <v>#VALUE!</v>
      </c>
      <c r="S15" s="601" t="e">
        <f t="shared" ref="S15:AB15" si="11">R15</f>
        <v>#VALUE!</v>
      </c>
      <c r="T15" s="601" t="e">
        <f t="shared" si="11"/>
        <v>#VALUE!</v>
      </c>
      <c r="U15" s="601" t="e">
        <f t="shared" si="11"/>
        <v>#VALUE!</v>
      </c>
      <c r="V15" s="601" t="e">
        <f t="shared" si="11"/>
        <v>#VALUE!</v>
      </c>
      <c r="W15" s="601" t="e">
        <f t="shared" si="11"/>
        <v>#VALUE!</v>
      </c>
      <c r="X15" s="601" t="e">
        <f t="shared" si="11"/>
        <v>#VALUE!</v>
      </c>
      <c r="Y15" s="601" t="e">
        <f t="shared" si="11"/>
        <v>#VALUE!</v>
      </c>
      <c r="Z15" s="601" t="e">
        <f t="shared" si="11"/>
        <v>#VALUE!</v>
      </c>
      <c r="AA15" s="601" t="e">
        <f t="shared" si="11"/>
        <v>#VALUE!</v>
      </c>
      <c r="AB15" s="606" t="e">
        <f t="shared" si="11"/>
        <v>#VALUE!</v>
      </c>
      <c r="AC15" s="584" t="e">
        <f>($AB$15*('Production Assumptions'!$C$6)^AB2)*12</f>
        <v>#VALUE!</v>
      </c>
      <c r="AD15" s="584" t="e">
        <f>($AB$15*('Production Assumptions'!$C$6)^AC2)*12</f>
        <v>#VALUE!</v>
      </c>
      <c r="AE15" s="584" t="e">
        <f>($AB$15*('Production Assumptions'!$C$6)^AD2)*12</f>
        <v>#VALUE!</v>
      </c>
      <c r="AF15" s="584" t="e">
        <f>($AB$15*('Production Assumptions'!$C$6)^AE2)*12</f>
        <v>#VALUE!</v>
      </c>
      <c r="AG15" s="584" t="e">
        <f>($AB$15*('Production Assumptions'!$C$6)^AF2)*12</f>
        <v>#VALUE!</v>
      </c>
      <c r="AH15" s="584" t="e">
        <f>($AB$15*('Production Assumptions'!$C$6)^AG2)*12</f>
        <v>#VALUE!</v>
      </c>
      <c r="AI15" s="584" t="e">
        <f>($AB$15*('Production Assumptions'!$C$6)^AH2)*12</f>
        <v>#VALUE!</v>
      </c>
      <c r="AJ15" s="584" t="e">
        <f>($AB$15*('Production Assumptions'!$C$6)^AI2)*12</f>
        <v>#VALUE!</v>
      </c>
    </row>
    <row r="16" spans="1:36" s="468" customFormat="1">
      <c r="B16" s="559" t="s">
        <v>479</v>
      </c>
      <c r="C16" s="584" t="e">
        <f>SUM(D16:O16)</f>
        <v>#VALUE!</v>
      </c>
      <c r="D16" s="601">
        <v>0</v>
      </c>
      <c r="E16" s="601">
        <v>0</v>
      </c>
      <c r="F16" s="601">
        <v>0</v>
      </c>
      <c r="G16" s="601">
        <v>0</v>
      </c>
      <c r="H16" s="601" t="e">
        <f>IF(Interface!E7=Validation!H66,0,'Production Assumptions'!G10)</f>
        <v>#VALUE!</v>
      </c>
      <c r="I16" s="601" t="e">
        <f>IF(Interface!E7=Validation!H66,'Production Assumptions'!G10,'OPEX - RAS'!H16)</f>
        <v>#VALUE!</v>
      </c>
      <c r="J16" s="601" t="e">
        <f t="shared" ref="J16:O16" si="12">I16</f>
        <v>#VALUE!</v>
      </c>
      <c r="K16" s="601" t="e">
        <f t="shared" si="12"/>
        <v>#VALUE!</v>
      </c>
      <c r="L16" s="601" t="e">
        <f t="shared" si="12"/>
        <v>#VALUE!</v>
      </c>
      <c r="M16" s="601" t="e">
        <f t="shared" si="12"/>
        <v>#VALUE!</v>
      </c>
      <c r="N16" s="601" t="e">
        <f t="shared" si="12"/>
        <v>#VALUE!</v>
      </c>
      <c r="O16" s="601" t="e">
        <f t="shared" si="12"/>
        <v>#VALUE!</v>
      </c>
      <c r="P16" s="584" t="e">
        <f>SUM(Q16:AB16)</f>
        <v>#VALUE!</v>
      </c>
      <c r="Q16" s="605" t="e">
        <f>$O$16*('Production Assumptions'!$C$6)</f>
        <v>#VALUE!</v>
      </c>
      <c r="R16" s="601" t="e">
        <f>$O$16*('Production Assumptions'!$C$6)</f>
        <v>#VALUE!</v>
      </c>
      <c r="S16" s="601" t="e">
        <f>$O$16*('Production Assumptions'!$C$6)</f>
        <v>#VALUE!</v>
      </c>
      <c r="T16" s="601" t="e">
        <f>$O$16*('Production Assumptions'!$C$6)</f>
        <v>#VALUE!</v>
      </c>
      <c r="U16" s="601" t="e">
        <f>$O$16*('Production Assumptions'!$C$6)</f>
        <v>#VALUE!</v>
      </c>
      <c r="V16" s="601" t="e">
        <f>$O$16*('Production Assumptions'!$C$6)</f>
        <v>#VALUE!</v>
      </c>
      <c r="W16" s="601" t="e">
        <f>$O$16*('Production Assumptions'!$C$6)</f>
        <v>#VALUE!</v>
      </c>
      <c r="X16" s="601" t="e">
        <f>$O$16*('Production Assumptions'!$C$6)</f>
        <v>#VALUE!</v>
      </c>
      <c r="Y16" s="601" t="e">
        <f>$O$16*('Production Assumptions'!$C$6)</f>
        <v>#VALUE!</v>
      </c>
      <c r="Z16" s="601" t="e">
        <f>$O$16*('Production Assumptions'!$C$6)</f>
        <v>#VALUE!</v>
      </c>
      <c r="AA16" s="601" t="e">
        <f>$O$16*('Production Assumptions'!$C$6)</f>
        <v>#VALUE!</v>
      </c>
      <c r="AB16" s="601" t="e">
        <f>$O$16*('Production Assumptions'!$C$6)</f>
        <v>#VALUE!</v>
      </c>
      <c r="AC16" s="584" t="e">
        <f>($AB$16*('Production Assumptions'!$C$6)^AB2)*12</f>
        <v>#VALUE!</v>
      </c>
      <c r="AD16" s="584" t="e">
        <f>($AB$16*('Production Assumptions'!$C$6)^AC2)*12</f>
        <v>#VALUE!</v>
      </c>
      <c r="AE16" s="584" t="e">
        <f>($AB$16*('Production Assumptions'!$C$6)^AD2)*12</f>
        <v>#VALUE!</v>
      </c>
      <c r="AF16" s="584" t="e">
        <f>($AB$16*('Production Assumptions'!$C$6)^AE2)*12</f>
        <v>#VALUE!</v>
      </c>
      <c r="AG16" s="584" t="e">
        <f>($AB$16*('Production Assumptions'!$C$6)^AF2)*12</f>
        <v>#VALUE!</v>
      </c>
      <c r="AH16" s="584" t="e">
        <f>($AB$16*('Production Assumptions'!$C$6)^AG2)*12</f>
        <v>#VALUE!</v>
      </c>
      <c r="AI16" s="584" t="e">
        <f>($AB$16*('Production Assumptions'!$C$6)^AH2)*12</f>
        <v>#VALUE!</v>
      </c>
      <c r="AJ16" s="584" t="e">
        <f>($AB$16*('Production Assumptions'!$C$6)^AI2)*12</f>
        <v>#VALUE!</v>
      </c>
    </row>
    <row r="17" spans="1:36" s="468" customFormat="1">
      <c r="B17" s="559" t="s">
        <v>477</v>
      </c>
      <c r="C17" s="584" t="e">
        <f t="shared" ref="C17:C18" si="13">SUM(D17:O17)</f>
        <v>#VALUE!</v>
      </c>
      <c r="D17" s="601" t="e">
        <f>'Production Assumptions'!G12</f>
        <v>#VALUE!</v>
      </c>
      <c r="E17" s="601" t="e">
        <f>D17</f>
        <v>#VALUE!</v>
      </c>
      <c r="F17" s="601" t="e">
        <f t="shared" ref="F17:O17" si="14">E17</f>
        <v>#VALUE!</v>
      </c>
      <c r="G17" s="601" t="e">
        <f t="shared" si="14"/>
        <v>#VALUE!</v>
      </c>
      <c r="H17" s="601" t="e">
        <f t="shared" si="14"/>
        <v>#VALUE!</v>
      </c>
      <c r="I17" s="601" t="e">
        <f t="shared" si="14"/>
        <v>#VALUE!</v>
      </c>
      <c r="J17" s="601" t="e">
        <f t="shared" si="14"/>
        <v>#VALUE!</v>
      </c>
      <c r="K17" s="601" t="e">
        <f t="shared" si="14"/>
        <v>#VALUE!</v>
      </c>
      <c r="L17" s="601" t="e">
        <f t="shared" si="14"/>
        <v>#VALUE!</v>
      </c>
      <c r="M17" s="601" t="e">
        <f t="shared" si="14"/>
        <v>#VALUE!</v>
      </c>
      <c r="N17" s="601" t="e">
        <f t="shared" si="14"/>
        <v>#VALUE!</v>
      </c>
      <c r="O17" s="601" t="e">
        <f t="shared" si="14"/>
        <v>#VALUE!</v>
      </c>
      <c r="P17" s="584" t="e">
        <f t="shared" ref="P17:P18" si="15">SUM(Q17:AB17)</f>
        <v>#VALUE!</v>
      </c>
      <c r="Q17" s="605" t="e">
        <f>$O$17*('Production Assumptions'!$C$6)</f>
        <v>#VALUE!</v>
      </c>
      <c r="R17" s="601" t="e">
        <f>Q17</f>
        <v>#VALUE!</v>
      </c>
      <c r="S17" s="601" t="e">
        <f t="shared" ref="S17:AB17" si="16">R17</f>
        <v>#VALUE!</v>
      </c>
      <c r="T17" s="601" t="e">
        <f t="shared" si="16"/>
        <v>#VALUE!</v>
      </c>
      <c r="U17" s="601" t="e">
        <f t="shared" si="16"/>
        <v>#VALUE!</v>
      </c>
      <c r="V17" s="601" t="e">
        <f t="shared" si="16"/>
        <v>#VALUE!</v>
      </c>
      <c r="W17" s="601" t="e">
        <f t="shared" si="16"/>
        <v>#VALUE!</v>
      </c>
      <c r="X17" s="601" t="e">
        <f t="shared" si="16"/>
        <v>#VALUE!</v>
      </c>
      <c r="Y17" s="601" t="e">
        <f t="shared" si="16"/>
        <v>#VALUE!</v>
      </c>
      <c r="Z17" s="601" t="e">
        <f t="shared" si="16"/>
        <v>#VALUE!</v>
      </c>
      <c r="AA17" s="601" t="e">
        <f t="shared" si="16"/>
        <v>#VALUE!</v>
      </c>
      <c r="AB17" s="601" t="e">
        <f t="shared" si="16"/>
        <v>#VALUE!</v>
      </c>
      <c r="AC17" s="584" t="e">
        <f>($AB$17*('Production Assumptions'!$C$6)^AB2)*12</f>
        <v>#VALUE!</v>
      </c>
      <c r="AD17" s="584" t="e">
        <f>($AB$17*('Production Assumptions'!$C$6)^AC2)*12</f>
        <v>#VALUE!</v>
      </c>
      <c r="AE17" s="584" t="e">
        <f>($AB$17*('Production Assumptions'!$C$6)^AD2)*12</f>
        <v>#VALUE!</v>
      </c>
      <c r="AF17" s="584" t="e">
        <f>($AB$17*('Production Assumptions'!$C$6)^AE2)*12</f>
        <v>#VALUE!</v>
      </c>
      <c r="AG17" s="584" t="e">
        <f>($AB$17*('Production Assumptions'!$C$6)^AF2)*12</f>
        <v>#VALUE!</v>
      </c>
      <c r="AH17" s="584" t="e">
        <f>($AB$17*('Production Assumptions'!$C$6)^AG2)*12</f>
        <v>#VALUE!</v>
      </c>
      <c r="AI17" s="584" t="e">
        <f>($AB$17*('Production Assumptions'!$C$6)^AH2)*12</f>
        <v>#VALUE!</v>
      </c>
      <c r="AJ17" s="584" t="e">
        <f>($AB$17*('Production Assumptions'!$C$6)^AI2)*12</f>
        <v>#VALUE!</v>
      </c>
    </row>
    <row r="18" spans="1:36" s="468" customFormat="1" ht="13.5" thickBot="1">
      <c r="B18" s="559" t="s">
        <v>478</v>
      </c>
      <c r="C18" s="584" t="e">
        <f t="shared" si="13"/>
        <v>#VALUE!</v>
      </c>
      <c r="D18" s="601" t="e">
        <f>'Production Assumptions'!G13</f>
        <v>#VALUE!</v>
      </c>
      <c r="E18" s="601" t="e">
        <f>D18</f>
        <v>#VALUE!</v>
      </c>
      <c r="F18" s="601" t="e">
        <f t="shared" ref="F18:O18" si="17">E18</f>
        <v>#VALUE!</v>
      </c>
      <c r="G18" s="601" t="e">
        <f t="shared" si="17"/>
        <v>#VALUE!</v>
      </c>
      <c r="H18" s="601" t="e">
        <f t="shared" si="17"/>
        <v>#VALUE!</v>
      </c>
      <c r="I18" s="601" t="e">
        <f t="shared" si="17"/>
        <v>#VALUE!</v>
      </c>
      <c r="J18" s="601" t="e">
        <f t="shared" si="17"/>
        <v>#VALUE!</v>
      </c>
      <c r="K18" s="601" t="e">
        <f t="shared" si="17"/>
        <v>#VALUE!</v>
      </c>
      <c r="L18" s="601" t="e">
        <f t="shared" si="17"/>
        <v>#VALUE!</v>
      </c>
      <c r="M18" s="601" t="e">
        <f t="shared" si="17"/>
        <v>#VALUE!</v>
      </c>
      <c r="N18" s="601" t="e">
        <f t="shared" si="17"/>
        <v>#VALUE!</v>
      </c>
      <c r="O18" s="601" t="e">
        <f t="shared" si="17"/>
        <v>#VALUE!</v>
      </c>
      <c r="P18" s="584" t="e">
        <f t="shared" si="15"/>
        <v>#VALUE!</v>
      </c>
      <c r="Q18" s="605" t="e">
        <f>$O$18*('Production Assumptions'!$C$6)</f>
        <v>#VALUE!</v>
      </c>
      <c r="R18" s="601" t="e">
        <f>Q18</f>
        <v>#VALUE!</v>
      </c>
      <c r="S18" s="601" t="e">
        <f t="shared" ref="S18:AB18" si="18">R18</f>
        <v>#VALUE!</v>
      </c>
      <c r="T18" s="601" t="e">
        <f t="shared" si="18"/>
        <v>#VALUE!</v>
      </c>
      <c r="U18" s="601" t="e">
        <f t="shared" si="18"/>
        <v>#VALUE!</v>
      </c>
      <c r="V18" s="601" t="e">
        <f t="shared" si="18"/>
        <v>#VALUE!</v>
      </c>
      <c r="W18" s="601" t="e">
        <f t="shared" si="18"/>
        <v>#VALUE!</v>
      </c>
      <c r="X18" s="601" t="e">
        <f t="shared" si="18"/>
        <v>#VALUE!</v>
      </c>
      <c r="Y18" s="601" t="e">
        <f t="shared" si="18"/>
        <v>#VALUE!</v>
      </c>
      <c r="Z18" s="601" t="e">
        <f t="shared" si="18"/>
        <v>#VALUE!</v>
      </c>
      <c r="AA18" s="601" t="e">
        <f t="shared" si="18"/>
        <v>#VALUE!</v>
      </c>
      <c r="AB18" s="601" t="e">
        <f t="shared" si="18"/>
        <v>#VALUE!</v>
      </c>
      <c r="AC18" s="584" t="e">
        <f>($AB$18*('Production Assumptions'!$C$6)^AB2)*12</f>
        <v>#VALUE!</v>
      </c>
      <c r="AD18" s="584" t="e">
        <f>($AB$18*('Production Assumptions'!$C$6)^AC2)*12</f>
        <v>#VALUE!</v>
      </c>
      <c r="AE18" s="584" t="e">
        <f>($AB$18*('Production Assumptions'!$C$6)^AD2)*12</f>
        <v>#VALUE!</v>
      </c>
      <c r="AF18" s="584" t="e">
        <f>($AB$18*('Production Assumptions'!$C$6)^AE2)*12</f>
        <v>#VALUE!</v>
      </c>
      <c r="AG18" s="584" t="e">
        <f>($AB$18*('Production Assumptions'!$C$6)^AF2)*12</f>
        <v>#VALUE!</v>
      </c>
      <c r="AH18" s="584" t="e">
        <f>($AB$18*('Production Assumptions'!$C$6)^AG2)*12</f>
        <v>#VALUE!</v>
      </c>
      <c r="AI18" s="584" t="e">
        <f>($AB$18*('Production Assumptions'!$C$6)^AH2)*12</f>
        <v>#VALUE!</v>
      </c>
      <c r="AJ18" s="584" t="e">
        <f>($AB$18*('Production Assumptions'!$C$6)^AI2)*12</f>
        <v>#VALUE!</v>
      </c>
    </row>
    <row r="19" spans="1:36" s="468" customFormat="1" ht="13.5" thickBot="1">
      <c r="B19" s="561" t="s">
        <v>150</v>
      </c>
      <c r="C19" s="585" t="e">
        <f>SUM(C13:C18)</f>
        <v>#VALUE!</v>
      </c>
      <c r="D19" s="586" t="e">
        <f>SUM(D13:D18)</f>
        <v>#VALUE!</v>
      </c>
      <c r="E19" s="586" t="e">
        <f t="shared" ref="E19:AJ19" si="19">SUM(E13:E18)</f>
        <v>#VALUE!</v>
      </c>
      <c r="F19" s="586" t="e">
        <f t="shared" si="19"/>
        <v>#VALUE!</v>
      </c>
      <c r="G19" s="586" t="e">
        <f t="shared" si="19"/>
        <v>#VALUE!</v>
      </c>
      <c r="H19" s="586" t="e">
        <f t="shared" si="19"/>
        <v>#VALUE!</v>
      </c>
      <c r="I19" s="586" t="e">
        <f t="shared" si="19"/>
        <v>#VALUE!</v>
      </c>
      <c r="J19" s="586" t="e">
        <f t="shared" si="19"/>
        <v>#VALUE!</v>
      </c>
      <c r="K19" s="586" t="e">
        <f t="shared" si="19"/>
        <v>#VALUE!</v>
      </c>
      <c r="L19" s="586" t="e">
        <f t="shared" si="19"/>
        <v>#VALUE!</v>
      </c>
      <c r="M19" s="586" t="e">
        <f t="shared" si="19"/>
        <v>#VALUE!</v>
      </c>
      <c r="N19" s="586" t="e">
        <f t="shared" si="19"/>
        <v>#VALUE!</v>
      </c>
      <c r="O19" s="586" t="e">
        <f t="shared" si="19"/>
        <v>#VALUE!</v>
      </c>
      <c r="P19" s="586" t="e">
        <f t="shared" si="19"/>
        <v>#VALUE!</v>
      </c>
      <c r="Q19" s="586" t="e">
        <f t="shared" si="19"/>
        <v>#VALUE!</v>
      </c>
      <c r="R19" s="586" t="e">
        <f t="shared" si="19"/>
        <v>#VALUE!</v>
      </c>
      <c r="S19" s="586" t="e">
        <f t="shared" si="19"/>
        <v>#VALUE!</v>
      </c>
      <c r="T19" s="586" t="e">
        <f t="shared" si="19"/>
        <v>#VALUE!</v>
      </c>
      <c r="U19" s="586" t="e">
        <f t="shared" si="19"/>
        <v>#VALUE!</v>
      </c>
      <c r="V19" s="586" t="e">
        <f t="shared" si="19"/>
        <v>#VALUE!</v>
      </c>
      <c r="W19" s="586" t="e">
        <f t="shared" si="19"/>
        <v>#VALUE!</v>
      </c>
      <c r="X19" s="586" t="e">
        <f t="shared" si="19"/>
        <v>#VALUE!</v>
      </c>
      <c r="Y19" s="586" t="e">
        <f t="shared" si="19"/>
        <v>#VALUE!</v>
      </c>
      <c r="Z19" s="586" t="e">
        <f t="shared" si="19"/>
        <v>#VALUE!</v>
      </c>
      <c r="AA19" s="586" t="e">
        <f t="shared" si="19"/>
        <v>#VALUE!</v>
      </c>
      <c r="AB19" s="586" t="e">
        <f t="shared" si="19"/>
        <v>#VALUE!</v>
      </c>
      <c r="AC19" s="586" t="e">
        <f t="shared" si="19"/>
        <v>#VALUE!</v>
      </c>
      <c r="AD19" s="586" t="e">
        <f t="shared" si="19"/>
        <v>#VALUE!</v>
      </c>
      <c r="AE19" s="586" t="e">
        <f t="shared" si="19"/>
        <v>#VALUE!</v>
      </c>
      <c r="AF19" s="586" t="e">
        <f t="shared" si="19"/>
        <v>#VALUE!</v>
      </c>
      <c r="AG19" s="586" t="e">
        <f t="shared" si="19"/>
        <v>#VALUE!</v>
      </c>
      <c r="AH19" s="586" t="e">
        <f t="shared" si="19"/>
        <v>#VALUE!</v>
      </c>
      <c r="AI19" s="586" t="e">
        <f t="shared" si="19"/>
        <v>#VALUE!</v>
      </c>
      <c r="AJ19" s="586" t="e">
        <f t="shared" si="19"/>
        <v>#VALUE!</v>
      </c>
    </row>
    <row r="20" spans="1:36" s="468" customFormat="1" ht="13.5" thickBot="1">
      <c r="C20" s="587"/>
      <c r="D20" s="587"/>
      <c r="E20" s="582"/>
      <c r="F20" s="582"/>
      <c r="G20" s="582"/>
      <c r="H20" s="582"/>
      <c r="I20" s="582"/>
      <c r="J20" s="582"/>
      <c r="K20" s="582"/>
      <c r="L20" s="582"/>
      <c r="M20" s="582"/>
      <c r="N20" s="582"/>
      <c r="O20" s="582"/>
      <c r="P20" s="582"/>
      <c r="Q20" s="582"/>
      <c r="R20" s="588"/>
      <c r="S20" s="582"/>
      <c r="T20" s="582"/>
      <c r="U20" s="582"/>
      <c r="V20" s="582"/>
      <c r="W20" s="582"/>
      <c r="X20" s="582"/>
      <c r="Y20" s="582"/>
      <c r="Z20" s="582"/>
      <c r="AA20" s="582"/>
      <c r="AB20" s="582"/>
      <c r="AC20" s="582"/>
      <c r="AD20" s="582"/>
      <c r="AE20" s="582"/>
      <c r="AF20" s="582"/>
      <c r="AG20" s="582"/>
      <c r="AH20" s="582"/>
      <c r="AI20" s="582"/>
      <c r="AJ20" s="582"/>
    </row>
    <row r="21" spans="1:36" s="468" customFormat="1" ht="13.5" thickBot="1">
      <c r="B21" s="607" t="s">
        <v>151</v>
      </c>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608"/>
    </row>
    <row r="22" spans="1:36" s="468" customFormat="1">
      <c r="B22" s="559" t="s">
        <v>152</v>
      </c>
      <c r="C22" s="584" t="e">
        <f>SUM(D22:O22)</f>
        <v>#VALUE!</v>
      </c>
      <c r="D22" s="601" t="e">
        <f>HR!E10</f>
        <v>#VALUE!</v>
      </c>
      <c r="E22" s="601" t="e">
        <f>HR!F10</f>
        <v>#VALUE!</v>
      </c>
      <c r="F22" s="601" t="e">
        <f>HR!G10</f>
        <v>#VALUE!</v>
      </c>
      <c r="G22" s="601" t="e">
        <f>HR!H10</f>
        <v>#VALUE!</v>
      </c>
      <c r="H22" s="601" t="e">
        <f>HR!I10</f>
        <v>#VALUE!</v>
      </c>
      <c r="I22" s="601" t="e">
        <f>HR!J10</f>
        <v>#VALUE!</v>
      </c>
      <c r="J22" s="601" t="e">
        <f>HR!K10</f>
        <v>#VALUE!</v>
      </c>
      <c r="K22" s="601" t="e">
        <f>HR!L10</f>
        <v>#VALUE!</v>
      </c>
      <c r="L22" s="601" t="e">
        <f>HR!M10</f>
        <v>#VALUE!</v>
      </c>
      <c r="M22" s="601" t="e">
        <f>HR!N10</f>
        <v>#VALUE!</v>
      </c>
      <c r="N22" s="601" t="e">
        <f>HR!O10</f>
        <v>#VALUE!</v>
      </c>
      <c r="O22" s="601" t="e">
        <f>HR!P10</f>
        <v>#VALUE!</v>
      </c>
      <c r="P22" s="584" t="e">
        <f>SUM(Q22:AB22)</f>
        <v>#VALUE!</v>
      </c>
      <c r="Q22" s="601" t="e">
        <f>HR!R10</f>
        <v>#VALUE!</v>
      </c>
      <c r="R22" s="601" t="e">
        <f>HR!S10</f>
        <v>#VALUE!</v>
      </c>
      <c r="S22" s="601" t="e">
        <f>HR!T10</f>
        <v>#VALUE!</v>
      </c>
      <c r="T22" s="601" t="e">
        <f>HR!U10</f>
        <v>#VALUE!</v>
      </c>
      <c r="U22" s="601" t="e">
        <f>HR!V10</f>
        <v>#VALUE!</v>
      </c>
      <c r="V22" s="601" t="e">
        <f>HR!W10</f>
        <v>#VALUE!</v>
      </c>
      <c r="W22" s="601" t="e">
        <f>HR!X10</f>
        <v>#VALUE!</v>
      </c>
      <c r="X22" s="601" t="e">
        <f>HR!Y10</f>
        <v>#VALUE!</v>
      </c>
      <c r="Y22" s="601" t="e">
        <f>HR!Z10</f>
        <v>#VALUE!</v>
      </c>
      <c r="Z22" s="601" t="e">
        <f>HR!AA10</f>
        <v>#VALUE!</v>
      </c>
      <c r="AA22" s="601" t="e">
        <f>HR!AB10</f>
        <v>#VALUE!</v>
      </c>
      <c r="AB22" s="601" t="e">
        <f>HR!AC10</f>
        <v>#VALUE!</v>
      </c>
      <c r="AC22" s="583" t="e">
        <f>($AB$22*('Production Assumptions'!$C$6)^AB2)*12</f>
        <v>#VALUE!</v>
      </c>
      <c r="AD22" s="584" t="e">
        <f>($AB$22*('Production Assumptions'!$C$6)^AC2)*12</f>
        <v>#VALUE!</v>
      </c>
      <c r="AE22" s="582" t="e">
        <f>($AB$22*('Production Assumptions'!$C$6)^AD2)*12</f>
        <v>#VALUE!</v>
      </c>
      <c r="AF22" s="584" t="e">
        <f>($AB$22*('Production Assumptions'!$C$6)^AE2)*12</f>
        <v>#VALUE!</v>
      </c>
      <c r="AG22" s="582" t="e">
        <f>($AB$22*('Production Assumptions'!$C$6)^AF2)*12</f>
        <v>#VALUE!</v>
      </c>
      <c r="AH22" s="584" t="e">
        <f>($AB$22*('Production Assumptions'!$C$6)^AG2)*12</f>
        <v>#VALUE!</v>
      </c>
      <c r="AI22" s="582" t="e">
        <f>($AB$22*('Production Assumptions'!$C$6)^AH2)*12</f>
        <v>#VALUE!</v>
      </c>
      <c r="AJ22" s="584" t="e">
        <f>($AB$22*('Production Assumptions'!$C$6)^AI2)*12</f>
        <v>#VALUE!</v>
      </c>
    </row>
    <row r="23" spans="1:36" s="468" customFormat="1">
      <c r="A23" s="687"/>
      <c r="B23" s="559" t="s">
        <v>153</v>
      </c>
      <c r="C23" s="584">
        <f t="shared" ref="C23:C31" si="20">SUM(D23:O23)</f>
        <v>9600</v>
      </c>
      <c r="D23" s="601">
        <f>'Production Assumptions'!$C$63</f>
        <v>800</v>
      </c>
      <c r="E23" s="601">
        <f>'Production Assumptions'!$C$63</f>
        <v>800</v>
      </c>
      <c r="F23" s="601">
        <f>'Production Assumptions'!$C$63</f>
        <v>800</v>
      </c>
      <c r="G23" s="601">
        <f>'Production Assumptions'!$C$63</f>
        <v>800</v>
      </c>
      <c r="H23" s="601">
        <f>'Production Assumptions'!$C$63</f>
        <v>800</v>
      </c>
      <c r="I23" s="601">
        <f>'Production Assumptions'!$C$63</f>
        <v>800</v>
      </c>
      <c r="J23" s="601">
        <f>'Production Assumptions'!$C$63</f>
        <v>800</v>
      </c>
      <c r="K23" s="601">
        <f>'Production Assumptions'!$C$63</f>
        <v>800</v>
      </c>
      <c r="L23" s="601">
        <f>'Production Assumptions'!$C$63</f>
        <v>800</v>
      </c>
      <c r="M23" s="601">
        <f>'Production Assumptions'!$C$63</f>
        <v>800</v>
      </c>
      <c r="N23" s="601">
        <f>'Production Assumptions'!$C$63</f>
        <v>800</v>
      </c>
      <c r="O23" s="601">
        <f>'Production Assumptions'!$C$63</f>
        <v>800</v>
      </c>
      <c r="P23" s="584">
        <f t="shared" ref="P23:P31" si="21">SUM(Q23:AB23)</f>
        <v>10089.599999999999</v>
      </c>
      <c r="Q23" s="601">
        <f>$O$23*('Production Assumptions'!$C$6)</f>
        <v>840.8</v>
      </c>
      <c r="R23" s="601">
        <f>$O$23*('Production Assumptions'!$C$6)</f>
        <v>840.8</v>
      </c>
      <c r="S23" s="601">
        <f>$O$23*('Production Assumptions'!$C$6)</f>
        <v>840.8</v>
      </c>
      <c r="T23" s="601">
        <f>$O$23*('Production Assumptions'!$C$6)</f>
        <v>840.8</v>
      </c>
      <c r="U23" s="601">
        <f>$O$23*('Production Assumptions'!$C$6)</f>
        <v>840.8</v>
      </c>
      <c r="V23" s="601">
        <f>$O$23*('Production Assumptions'!$C$6)</f>
        <v>840.8</v>
      </c>
      <c r="W23" s="601">
        <f>$O$23*('Production Assumptions'!$C$6)</f>
        <v>840.8</v>
      </c>
      <c r="X23" s="601">
        <f>$O$23*('Production Assumptions'!$C$6)</f>
        <v>840.8</v>
      </c>
      <c r="Y23" s="601">
        <f>$O$23*('Production Assumptions'!$C$6)</f>
        <v>840.8</v>
      </c>
      <c r="Z23" s="601">
        <f>$O$23*('Production Assumptions'!$C$6)</f>
        <v>840.8</v>
      </c>
      <c r="AA23" s="601">
        <f>$O$23*('Production Assumptions'!$C$6)</f>
        <v>840.8</v>
      </c>
      <c r="AB23" s="601">
        <f>$O$23*('Production Assumptions'!$C$6)</f>
        <v>840.8</v>
      </c>
      <c r="AC23" s="584">
        <f>($AB$23*('Production Assumptions'!$C$6))*12</f>
        <v>10604.169599999997</v>
      </c>
      <c r="AD23" s="584">
        <f>($AB$23*('Production Assumptions'!$C$6)^AC2)*12</f>
        <v>11144.9822496</v>
      </c>
      <c r="AE23" s="582">
        <f>($AB$23*('Production Assumptions'!$C$6)^AD2)*12</f>
        <v>11713.376344329599</v>
      </c>
      <c r="AF23" s="584">
        <f>($AB$23*('Production Assumptions'!$C$6)^AE2)*12</f>
        <v>12310.758537890408</v>
      </c>
      <c r="AG23" s="582">
        <f>($AB$23*('Production Assumptions'!$C$6)^AF2)*12</f>
        <v>12938.607223322819</v>
      </c>
      <c r="AH23" s="584">
        <f>($AB$23*('Production Assumptions'!$C$6)^AG2)*12</f>
        <v>13598.476191712283</v>
      </c>
      <c r="AI23" s="582">
        <f>($AB$23*('Production Assumptions'!$C$6)^AH2)*12</f>
        <v>14291.998477489611</v>
      </c>
      <c r="AJ23" s="584">
        <f>($AB$23*('Production Assumptions'!$C$6)^AI2)*12</f>
        <v>15020.890399841581</v>
      </c>
    </row>
    <row r="24" spans="1:36" s="468" customFormat="1">
      <c r="A24" s="687"/>
      <c r="B24" s="559" t="s">
        <v>10</v>
      </c>
      <c r="C24" s="584" t="e">
        <f t="shared" si="20"/>
        <v>#VALUE!</v>
      </c>
      <c r="D24" s="601" t="e">
        <f>'Production Assumptions'!G19</f>
        <v>#VALUE!</v>
      </c>
      <c r="E24" s="601" t="e">
        <f>D24</f>
        <v>#VALUE!</v>
      </c>
      <c r="F24" s="601" t="e">
        <f t="shared" ref="F24:O24" si="22">E24</f>
        <v>#VALUE!</v>
      </c>
      <c r="G24" s="601" t="e">
        <f t="shared" si="22"/>
        <v>#VALUE!</v>
      </c>
      <c r="H24" s="601" t="e">
        <f t="shared" si="22"/>
        <v>#VALUE!</v>
      </c>
      <c r="I24" s="601" t="e">
        <f t="shared" si="22"/>
        <v>#VALUE!</v>
      </c>
      <c r="J24" s="601" t="e">
        <f t="shared" si="22"/>
        <v>#VALUE!</v>
      </c>
      <c r="K24" s="601" t="e">
        <f t="shared" si="22"/>
        <v>#VALUE!</v>
      </c>
      <c r="L24" s="601" t="e">
        <f t="shared" si="22"/>
        <v>#VALUE!</v>
      </c>
      <c r="M24" s="601" t="e">
        <f t="shared" si="22"/>
        <v>#VALUE!</v>
      </c>
      <c r="N24" s="601" t="e">
        <f t="shared" si="22"/>
        <v>#VALUE!</v>
      </c>
      <c r="O24" s="601" t="e">
        <f t="shared" si="22"/>
        <v>#VALUE!</v>
      </c>
      <c r="P24" s="584" t="e">
        <f t="shared" si="21"/>
        <v>#VALUE!</v>
      </c>
      <c r="Q24" s="601" t="e">
        <f>$O$24*('Production Assumptions'!$C$6)</f>
        <v>#VALUE!</v>
      </c>
      <c r="R24" s="601" t="e">
        <f>$O$24*('Production Assumptions'!$C$6)</f>
        <v>#VALUE!</v>
      </c>
      <c r="S24" s="601" t="e">
        <f>$O$24*('Production Assumptions'!$C$6)</f>
        <v>#VALUE!</v>
      </c>
      <c r="T24" s="601" t="e">
        <f>$O$24*('Production Assumptions'!$C$6)</f>
        <v>#VALUE!</v>
      </c>
      <c r="U24" s="601" t="e">
        <f>$O$24*('Production Assumptions'!$C$6)</f>
        <v>#VALUE!</v>
      </c>
      <c r="V24" s="601" t="e">
        <f>$O$24*('Production Assumptions'!$C$6)</f>
        <v>#VALUE!</v>
      </c>
      <c r="W24" s="601" t="e">
        <f>$O$24*('Production Assumptions'!$C$6)</f>
        <v>#VALUE!</v>
      </c>
      <c r="X24" s="601" t="e">
        <f>$O$24*('Production Assumptions'!$C$6)</f>
        <v>#VALUE!</v>
      </c>
      <c r="Y24" s="601" t="e">
        <f>$O$24*('Production Assumptions'!$C$6)</f>
        <v>#VALUE!</v>
      </c>
      <c r="Z24" s="601" t="e">
        <f>$O$24*('Production Assumptions'!$C$6)</f>
        <v>#VALUE!</v>
      </c>
      <c r="AA24" s="601" t="e">
        <f>$O$24*('Production Assumptions'!$C$6)</f>
        <v>#VALUE!</v>
      </c>
      <c r="AB24" s="601" t="e">
        <f>$O$24*('Production Assumptions'!$C$6)</f>
        <v>#VALUE!</v>
      </c>
      <c r="AC24" s="584" t="e">
        <f>($AB$24*('Production Assumptions'!$C$6))*12</f>
        <v>#VALUE!</v>
      </c>
      <c r="AD24" s="584" t="e">
        <f>($AB$24*('Production Assumptions'!$C$6)^AC2)*12</f>
        <v>#VALUE!</v>
      </c>
      <c r="AE24" s="582" t="e">
        <f>($AB$24*('Production Assumptions'!$C$6)^AD2)*12</f>
        <v>#VALUE!</v>
      </c>
      <c r="AF24" s="584" t="e">
        <f>($AB$24*('Production Assumptions'!$C$6)^AE2)*12</f>
        <v>#VALUE!</v>
      </c>
      <c r="AG24" s="582" t="e">
        <f>($AB$24*('Production Assumptions'!$C$6)^AF2)*12</f>
        <v>#VALUE!</v>
      </c>
      <c r="AH24" s="584" t="e">
        <f>($AB$24*('Production Assumptions'!$C$6)^AG2)*12</f>
        <v>#VALUE!</v>
      </c>
      <c r="AI24" s="582" t="e">
        <f>($AB$24*('Production Assumptions'!$C$6)^AH2)*12</f>
        <v>#VALUE!</v>
      </c>
      <c r="AJ24" s="584" t="e">
        <f>($AB$24*('Production Assumptions'!$C$6)^AI2)*12</f>
        <v>#VALUE!</v>
      </c>
    </row>
    <row r="25" spans="1:36" s="468" customFormat="1">
      <c r="A25" s="687"/>
      <c r="B25" s="559" t="s">
        <v>155</v>
      </c>
      <c r="C25" s="584" t="e">
        <f t="shared" si="20"/>
        <v>#VALUE!</v>
      </c>
      <c r="D25" s="601" t="e">
        <f>'Production Assumptions'!$C$65*HR!$D$38</f>
        <v>#VALUE!</v>
      </c>
      <c r="E25" s="601">
        <v>0</v>
      </c>
      <c r="F25" s="601">
        <v>0</v>
      </c>
      <c r="G25" s="601">
        <v>0</v>
      </c>
      <c r="H25" s="601">
        <v>0</v>
      </c>
      <c r="I25" s="601">
        <v>0</v>
      </c>
      <c r="J25" s="601">
        <v>0</v>
      </c>
      <c r="K25" s="601">
        <v>0</v>
      </c>
      <c r="L25" s="601">
        <v>0</v>
      </c>
      <c r="M25" s="601">
        <v>0</v>
      </c>
      <c r="N25" s="601">
        <v>0</v>
      </c>
      <c r="O25" s="601">
        <v>0</v>
      </c>
      <c r="P25" s="584" t="e">
        <f t="shared" si="21"/>
        <v>#VALUE!</v>
      </c>
      <c r="Q25" s="601" t="e">
        <f>D25*('Production Assumptions'!$C$6)</f>
        <v>#VALUE!</v>
      </c>
      <c r="R25" s="601">
        <f>E25*('Production Assumptions'!$C$6)</f>
        <v>0</v>
      </c>
      <c r="S25" s="601">
        <f>F25*('Production Assumptions'!$C$6)</f>
        <v>0</v>
      </c>
      <c r="T25" s="601">
        <f>G25*('Production Assumptions'!$C$6)</f>
        <v>0</v>
      </c>
      <c r="U25" s="601">
        <f>H25*('Production Assumptions'!$C$6)</f>
        <v>0</v>
      </c>
      <c r="V25" s="601">
        <f>I25*('Production Assumptions'!$C$6)</f>
        <v>0</v>
      </c>
      <c r="W25" s="601">
        <f>J25*('Production Assumptions'!$C$6)</f>
        <v>0</v>
      </c>
      <c r="X25" s="601">
        <f>K25*('Production Assumptions'!$C$6)</f>
        <v>0</v>
      </c>
      <c r="Y25" s="601">
        <f>L25*('Production Assumptions'!$C$6)</f>
        <v>0</v>
      </c>
      <c r="Z25" s="601">
        <f>M25*('Production Assumptions'!$C$6)</f>
        <v>0</v>
      </c>
      <c r="AA25" s="601">
        <f>N25*('Production Assumptions'!$C$6)</f>
        <v>0</v>
      </c>
      <c r="AB25" s="601">
        <f>O25*('Production Assumptions'!$C$6)</f>
        <v>0</v>
      </c>
      <c r="AC25" s="584" t="e">
        <f>$Q$25*('Production Assumptions'!$C$6)</f>
        <v>#VALUE!</v>
      </c>
      <c r="AD25" s="584" t="e">
        <f>$Q$25*('Production Assumptions'!$C$6)^AC2</f>
        <v>#VALUE!</v>
      </c>
      <c r="AE25" s="582" t="e">
        <f>$Q$25*('Production Assumptions'!$C$6)^AD2</f>
        <v>#VALUE!</v>
      </c>
      <c r="AF25" s="584" t="e">
        <f>$Q$25*('Production Assumptions'!$C$6)^AE2</f>
        <v>#VALUE!</v>
      </c>
      <c r="AG25" s="582" t="e">
        <f>$Q$25*('Production Assumptions'!$C$6)^AF2</f>
        <v>#VALUE!</v>
      </c>
      <c r="AH25" s="584" t="e">
        <f>$Q$25*('Production Assumptions'!$C$6)^AG2</f>
        <v>#VALUE!</v>
      </c>
      <c r="AI25" s="582" t="e">
        <f>$Q$25*('Production Assumptions'!$C$6)^AH2</f>
        <v>#VALUE!</v>
      </c>
      <c r="AJ25" s="584" t="e">
        <f>$Q$25*('Production Assumptions'!$C$6)^AI2</f>
        <v>#VALUE!</v>
      </c>
    </row>
    <row r="26" spans="1:36" s="468" customFormat="1">
      <c r="A26" s="687"/>
      <c r="B26" s="559" t="s">
        <v>156</v>
      </c>
      <c r="C26" s="584">
        <f t="shared" si="20"/>
        <v>1200</v>
      </c>
      <c r="D26" s="601">
        <f>IF(Interface!$J$7&lt;5000,0,'Production Assumptions'!$C$66)</f>
        <v>100</v>
      </c>
      <c r="E26" s="601">
        <f>D26</f>
        <v>100</v>
      </c>
      <c r="F26" s="601">
        <f t="shared" ref="F26:O26" si="23">E26</f>
        <v>100</v>
      </c>
      <c r="G26" s="601">
        <f t="shared" si="23"/>
        <v>100</v>
      </c>
      <c r="H26" s="601">
        <f t="shared" si="23"/>
        <v>100</v>
      </c>
      <c r="I26" s="601">
        <f t="shared" si="23"/>
        <v>100</v>
      </c>
      <c r="J26" s="601">
        <f t="shared" si="23"/>
        <v>100</v>
      </c>
      <c r="K26" s="601">
        <f t="shared" si="23"/>
        <v>100</v>
      </c>
      <c r="L26" s="601">
        <f t="shared" si="23"/>
        <v>100</v>
      </c>
      <c r="M26" s="601">
        <f t="shared" si="23"/>
        <v>100</v>
      </c>
      <c r="N26" s="601">
        <f t="shared" si="23"/>
        <v>100</v>
      </c>
      <c r="O26" s="601">
        <f t="shared" si="23"/>
        <v>100</v>
      </c>
      <c r="P26" s="584">
        <f t="shared" si="21"/>
        <v>1261.1999999999998</v>
      </c>
      <c r="Q26" s="601">
        <f>$O$26*('Production Assumptions'!$C$6)</f>
        <v>105.1</v>
      </c>
      <c r="R26" s="601">
        <f>$O$26*('Production Assumptions'!$C$6)</f>
        <v>105.1</v>
      </c>
      <c r="S26" s="601">
        <f>$O$26*('Production Assumptions'!$C$6)</f>
        <v>105.1</v>
      </c>
      <c r="T26" s="601">
        <f>$O$26*('Production Assumptions'!$C$6)</f>
        <v>105.1</v>
      </c>
      <c r="U26" s="601">
        <f>$O$26*('Production Assumptions'!$C$6)</f>
        <v>105.1</v>
      </c>
      <c r="V26" s="601">
        <f>$O$26*('Production Assumptions'!$C$6)</f>
        <v>105.1</v>
      </c>
      <c r="W26" s="601">
        <f>$O$26*('Production Assumptions'!$C$6)</f>
        <v>105.1</v>
      </c>
      <c r="X26" s="601">
        <f>$O$26*('Production Assumptions'!$C$6)</f>
        <v>105.1</v>
      </c>
      <c r="Y26" s="601">
        <f>$O$26*('Production Assumptions'!$C$6)</f>
        <v>105.1</v>
      </c>
      <c r="Z26" s="601">
        <f>$O$26*('Production Assumptions'!$C$6)</f>
        <v>105.1</v>
      </c>
      <c r="AA26" s="601">
        <f>$O$26*('Production Assumptions'!$C$6)</f>
        <v>105.1</v>
      </c>
      <c r="AB26" s="601">
        <f>$O$26*('Production Assumptions'!$C$6)</f>
        <v>105.1</v>
      </c>
      <c r="AC26" s="584">
        <f>($AB$26*('Production Assumptions'!$C$6))*12</f>
        <v>1325.5211999999997</v>
      </c>
      <c r="AD26" s="584">
        <f>($AB$26*('Production Assumptions'!$C$6)^AC2)*12</f>
        <v>1393.1227812</v>
      </c>
      <c r="AE26" s="582">
        <f>($AB$26*('Production Assumptions'!$C$6)^AD2)*12</f>
        <v>1464.1720430411999</v>
      </c>
      <c r="AF26" s="584">
        <f>($AB$26*('Production Assumptions'!$C$6)^AE2)*12</f>
        <v>1538.844817236301</v>
      </c>
      <c r="AG26" s="582">
        <f>($AB$26*('Production Assumptions'!$C$6)^AF2)*12</f>
        <v>1617.3259029153523</v>
      </c>
      <c r="AH26" s="584">
        <f>($AB$26*('Production Assumptions'!$C$6)^AG2)*12</f>
        <v>1699.8095239640354</v>
      </c>
      <c r="AI26" s="582">
        <f>($AB$26*('Production Assumptions'!$C$6)^AH2)*12</f>
        <v>1786.4998096862014</v>
      </c>
      <c r="AJ26" s="584">
        <f>($AB$26*('Production Assumptions'!$C$6)^AI2)*12</f>
        <v>1877.6112999801976</v>
      </c>
    </row>
    <row r="27" spans="1:36" s="468" customFormat="1">
      <c r="A27" s="687"/>
      <c r="B27" s="559" t="s">
        <v>157</v>
      </c>
      <c r="C27" s="584">
        <f t="shared" si="20"/>
        <v>6000</v>
      </c>
      <c r="D27" s="601">
        <f>'Production Assumptions'!$C$67</f>
        <v>500</v>
      </c>
      <c r="E27" s="601">
        <f>'Production Assumptions'!$C$67</f>
        <v>500</v>
      </c>
      <c r="F27" s="601">
        <f>'Production Assumptions'!$C$67</f>
        <v>500</v>
      </c>
      <c r="G27" s="601">
        <f>'Production Assumptions'!$C$67</f>
        <v>500</v>
      </c>
      <c r="H27" s="601">
        <f>'Production Assumptions'!$C$67</f>
        <v>500</v>
      </c>
      <c r="I27" s="601">
        <f>'Production Assumptions'!$C$67</f>
        <v>500</v>
      </c>
      <c r="J27" s="601">
        <f>'Production Assumptions'!$C$67</f>
        <v>500</v>
      </c>
      <c r="K27" s="601">
        <f>'Production Assumptions'!$C$67</f>
        <v>500</v>
      </c>
      <c r="L27" s="601">
        <f>'Production Assumptions'!$C$67</f>
        <v>500</v>
      </c>
      <c r="M27" s="601">
        <f>'Production Assumptions'!$C$67</f>
        <v>500</v>
      </c>
      <c r="N27" s="601">
        <f>'Production Assumptions'!$C$67</f>
        <v>500</v>
      </c>
      <c r="O27" s="601">
        <f>'Production Assumptions'!$C$67</f>
        <v>500</v>
      </c>
      <c r="P27" s="584">
        <f t="shared" si="21"/>
        <v>6306</v>
      </c>
      <c r="Q27" s="601">
        <f>$O$27*('Production Assumptions'!$C$6)</f>
        <v>525.5</v>
      </c>
      <c r="R27" s="601">
        <f>$O$27*('Production Assumptions'!$C$6)</f>
        <v>525.5</v>
      </c>
      <c r="S27" s="601">
        <f>$O$27*('Production Assumptions'!$C$6)</f>
        <v>525.5</v>
      </c>
      <c r="T27" s="601">
        <f>$O$27*('Production Assumptions'!$C$6)</f>
        <v>525.5</v>
      </c>
      <c r="U27" s="601">
        <f>$O$27*('Production Assumptions'!$C$6)</f>
        <v>525.5</v>
      </c>
      <c r="V27" s="601">
        <f>$O$27*('Production Assumptions'!$C$6)</f>
        <v>525.5</v>
      </c>
      <c r="W27" s="601">
        <f>$O$27*('Production Assumptions'!$C$6)</f>
        <v>525.5</v>
      </c>
      <c r="X27" s="601">
        <f>$O$27*('Production Assumptions'!$C$6)</f>
        <v>525.5</v>
      </c>
      <c r="Y27" s="601">
        <f>$O$27*('Production Assumptions'!$C$6)</f>
        <v>525.5</v>
      </c>
      <c r="Z27" s="601">
        <f>$O$27*('Production Assumptions'!$C$6)</f>
        <v>525.5</v>
      </c>
      <c r="AA27" s="601">
        <f>$O$27*('Production Assumptions'!$C$6)</f>
        <v>525.5</v>
      </c>
      <c r="AB27" s="601">
        <f>$O$27*('Production Assumptions'!$C$6)</f>
        <v>525.5</v>
      </c>
      <c r="AC27" s="584">
        <f>($AB$27*('Production Assumptions'!$C$6))*12</f>
        <v>6627.6059999999998</v>
      </c>
      <c r="AD27" s="584">
        <f>($AB$27*('Production Assumptions'!$C$6)^AC2)*12</f>
        <v>6965.6139060000005</v>
      </c>
      <c r="AE27" s="582">
        <f>($AB$27*('Production Assumptions'!$C$6)^AD2)*12</f>
        <v>7320.8602152060002</v>
      </c>
      <c r="AF27" s="584">
        <f>($AB$27*('Production Assumptions'!$C$6)^AE2)*12</f>
        <v>7694.2240861815062</v>
      </c>
      <c r="AG27" s="582">
        <f>($AB$27*('Production Assumptions'!$C$6)^AF2)*12</f>
        <v>8086.6295145767617</v>
      </c>
      <c r="AH27" s="584">
        <f>($AB$27*('Production Assumptions'!$C$6)^AG2)*12</f>
        <v>8499.0476198201759</v>
      </c>
      <c r="AI27" s="582">
        <f>($AB$27*('Production Assumptions'!$C$6)^AH2)*12</f>
        <v>8932.4990484310056</v>
      </c>
      <c r="AJ27" s="584">
        <f>($AB$27*('Production Assumptions'!$C$6)^AI2)*12</f>
        <v>9388.0564999009875</v>
      </c>
    </row>
    <row r="28" spans="1:36" s="468" customFormat="1">
      <c r="A28" s="687"/>
      <c r="B28" s="559" t="s">
        <v>300</v>
      </c>
      <c r="C28" s="584">
        <f t="shared" si="20"/>
        <v>7800</v>
      </c>
      <c r="D28" s="613">
        <f>'Production Assumptions'!$C$69</f>
        <v>1950</v>
      </c>
      <c r="E28" s="613">
        <v>0</v>
      </c>
      <c r="F28" s="613">
        <v>0</v>
      </c>
      <c r="G28" s="613">
        <f>D28</f>
        <v>1950</v>
      </c>
      <c r="H28" s="613">
        <v>0</v>
      </c>
      <c r="I28" s="613">
        <v>0</v>
      </c>
      <c r="J28" s="613">
        <f>D28</f>
        <v>1950</v>
      </c>
      <c r="K28" s="613">
        <v>0</v>
      </c>
      <c r="L28" s="613">
        <v>0</v>
      </c>
      <c r="M28" s="613">
        <f>D28</f>
        <v>1950</v>
      </c>
      <c r="N28" s="613">
        <v>0</v>
      </c>
      <c r="O28" s="613">
        <v>0</v>
      </c>
      <c r="P28" s="584">
        <f t="shared" si="21"/>
        <v>8197.7999999999993</v>
      </c>
      <c r="Q28" s="601">
        <f>D28*(1+'Production Assumptions'!$C$4)</f>
        <v>2049.4499999999998</v>
      </c>
      <c r="R28" s="601">
        <f>E28*(1+'Production Assumptions'!$C$4)</f>
        <v>0</v>
      </c>
      <c r="S28" s="601">
        <f>F28*(1+'Production Assumptions'!$C$4)</f>
        <v>0</v>
      </c>
      <c r="T28" s="601">
        <f>G28*(1+'Production Assumptions'!$C$4)</f>
        <v>2049.4499999999998</v>
      </c>
      <c r="U28" s="601">
        <f>H28*(1+'Production Assumptions'!$C$4)</f>
        <v>0</v>
      </c>
      <c r="V28" s="601">
        <f>I28*(1+'Production Assumptions'!$C$4)</f>
        <v>0</v>
      </c>
      <c r="W28" s="601">
        <f>J28*(1+'Production Assumptions'!$C$4)</f>
        <v>2049.4499999999998</v>
      </c>
      <c r="X28" s="601">
        <f>K28*(1+'Production Assumptions'!$C$4)</f>
        <v>0</v>
      </c>
      <c r="Y28" s="601">
        <f>L28*(1+'Production Assumptions'!$C$4)</f>
        <v>0</v>
      </c>
      <c r="Z28" s="601">
        <f>M28*(1+'Production Assumptions'!$C$4)</f>
        <v>2049.4499999999998</v>
      </c>
      <c r="AA28" s="601">
        <f>N28*(1+'Production Assumptions'!$C$4)</f>
        <v>0</v>
      </c>
      <c r="AB28" s="601">
        <f>O28*(1+'Production Assumptions'!$C$4)</f>
        <v>0</v>
      </c>
      <c r="AC28" s="584">
        <f>P28*(1+'Production Assumptions'!$C$4)</f>
        <v>8615.8877999999986</v>
      </c>
      <c r="AD28" s="584">
        <f>$P$28*((1+'Production Assumptions'!$C$4)^AC2)</f>
        <v>9055.2980777999983</v>
      </c>
      <c r="AE28" s="584">
        <f>$P$28*((1+'Production Assumptions'!$C$4)^AD2)</f>
        <v>9517.1182797677993</v>
      </c>
      <c r="AF28" s="584">
        <f>$P$28*((1+'Production Assumptions'!$C$4)^AE2)</f>
        <v>10002.491312035956</v>
      </c>
      <c r="AG28" s="584">
        <f>$P$28*((1+'Production Assumptions'!$C$4)^AF2)</f>
        <v>10512.61836894979</v>
      </c>
      <c r="AH28" s="584">
        <f>$P$28*((1+'Production Assumptions'!$C$4)^AG2)</f>
        <v>11048.761905766229</v>
      </c>
      <c r="AI28" s="584">
        <f>$P$28*((1+'Production Assumptions'!$C$4)^AH2)</f>
        <v>11612.248762960307</v>
      </c>
      <c r="AJ28" s="584">
        <f>$P$28*((1+'Production Assumptions'!$C$4)^AI2)</f>
        <v>12204.473449871282</v>
      </c>
    </row>
    <row r="29" spans="1:36" s="468" customFormat="1">
      <c r="A29" s="687"/>
      <c r="B29" s="559" t="s">
        <v>158</v>
      </c>
      <c r="C29" s="584">
        <f>SUM(D29:O29)</f>
        <v>720</v>
      </c>
      <c r="D29" s="601">
        <f>IF(D10=0,60,D10/100*(1+'Production Assumptions'!$C$71)+60)</f>
        <v>60</v>
      </c>
      <c r="E29" s="601">
        <f>IF(E10=0,60,E10/100*(1+'Production Assumptions'!$C$71)+60)</f>
        <v>60</v>
      </c>
      <c r="F29" s="601">
        <f>IF(F10=0,60,F10/100*(1+'Production Assumptions'!$C$71)+60)</f>
        <v>60</v>
      </c>
      <c r="G29" s="601">
        <f>IF(G10=0,60,G10/100*(1+'Production Assumptions'!$C$71)+60)</f>
        <v>60</v>
      </c>
      <c r="H29" s="601">
        <f>IF(H10=0,60,H10/100*(1+'Production Assumptions'!$C$71)+60)</f>
        <v>60</v>
      </c>
      <c r="I29" s="601">
        <f>IF(I10=0,60,I10/100*(1+'Production Assumptions'!$C$71)+60)</f>
        <v>60</v>
      </c>
      <c r="J29" s="601">
        <f>IF(J10=0,60,J10/100*(1+'Production Assumptions'!$C$71)+60)</f>
        <v>60</v>
      </c>
      <c r="K29" s="601">
        <f>IF(K10=0,60,K10/100*(1+'Production Assumptions'!$C$71)+60)</f>
        <v>60</v>
      </c>
      <c r="L29" s="601">
        <f>IF(L10=0,60,L10/100*(1+'Production Assumptions'!$C$71)+60)</f>
        <v>60</v>
      </c>
      <c r="M29" s="601">
        <f>IF(M10=0,60,M10/100*(1+'Production Assumptions'!$C$71)+60)</f>
        <v>60</v>
      </c>
      <c r="N29" s="601">
        <f>IF(N10=0,60,N10/100*(1+'Production Assumptions'!$C$71)+60)</f>
        <v>60</v>
      </c>
      <c r="O29" s="601">
        <f>IF(O10=0,60,O10/100*(1+'Production Assumptions'!$C$71)+60)</f>
        <v>60</v>
      </c>
      <c r="P29" s="584">
        <f t="shared" si="21"/>
        <v>756.7199999999998</v>
      </c>
      <c r="Q29" s="601">
        <f>IF(Q10=0,60,Q10/100*(1+'Production Assumptions'!$C$71)+60)*('Production Assumptions'!$C$6)</f>
        <v>63.059999999999995</v>
      </c>
      <c r="R29" s="601">
        <f>$Q$29</f>
        <v>63.059999999999995</v>
      </c>
      <c r="S29" s="601">
        <f t="shared" ref="S29:AB29" si="24">$Q$29</f>
        <v>63.059999999999995</v>
      </c>
      <c r="T29" s="601">
        <f t="shared" si="24"/>
        <v>63.059999999999995</v>
      </c>
      <c r="U29" s="601">
        <f t="shared" si="24"/>
        <v>63.059999999999995</v>
      </c>
      <c r="V29" s="601">
        <f t="shared" si="24"/>
        <v>63.059999999999995</v>
      </c>
      <c r="W29" s="601">
        <f t="shared" si="24"/>
        <v>63.059999999999995</v>
      </c>
      <c r="X29" s="601">
        <f t="shared" si="24"/>
        <v>63.059999999999995</v>
      </c>
      <c r="Y29" s="601">
        <f t="shared" si="24"/>
        <v>63.059999999999995</v>
      </c>
      <c r="Z29" s="601">
        <f t="shared" si="24"/>
        <v>63.059999999999995</v>
      </c>
      <c r="AA29" s="601">
        <f t="shared" si="24"/>
        <v>63.059999999999995</v>
      </c>
      <c r="AB29" s="601">
        <f t="shared" si="24"/>
        <v>63.059999999999995</v>
      </c>
      <c r="AC29" s="584">
        <f>($AB29*('Production Assumptions'!$C$6))*12</f>
        <v>795.3127199999999</v>
      </c>
      <c r="AD29" s="584">
        <f>($AB29*('Production Assumptions'!$C$6)^AC2)*12</f>
        <v>835.87366871999984</v>
      </c>
      <c r="AE29" s="582">
        <f>($AB29*('Production Assumptions'!$C$6)^AD2)*12</f>
        <v>878.50322582471995</v>
      </c>
      <c r="AF29" s="584">
        <f>($AB$29*('Production Assumptions'!$C$6)^AE2)*12</f>
        <v>923.30689034178067</v>
      </c>
      <c r="AG29" s="582">
        <f>($AB$29*('Production Assumptions'!$C$6)^AF2)*12</f>
        <v>970.39554174921136</v>
      </c>
      <c r="AH29" s="584">
        <f>($AB$29*('Production Assumptions'!$C$6)^AG2)*12</f>
        <v>1019.8857143784212</v>
      </c>
      <c r="AI29" s="582">
        <f>($AB$29*('Production Assumptions'!$C$6)^AH2)*12</f>
        <v>1071.8998858117207</v>
      </c>
      <c r="AJ29" s="584">
        <f>($AB$29*('Production Assumptions'!$C$6)^AI2)*12</f>
        <v>1126.5667799881185</v>
      </c>
    </row>
    <row r="30" spans="1:36" s="468" customFormat="1">
      <c r="A30" s="687"/>
      <c r="B30" s="559" t="s">
        <v>159</v>
      </c>
      <c r="C30" s="584" t="e">
        <f t="shared" si="20"/>
        <v>#VALUE!</v>
      </c>
      <c r="D30" s="601" t="e">
        <f>IF(Interface!$J$7&lt;15000,250,'Production Assumptions'!C73)</f>
        <v>#VALUE!</v>
      </c>
      <c r="E30" s="601" t="e">
        <f>D30</f>
        <v>#VALUE!</v>
      </c>
      <c r="F30" s="601" t="e">
        <f t="shared" ref="F30:O30" si="25">E30</f>
        <v>#VALUE!</v>
      </c>
      <c r="G30" s="601" t="e">
        <f t="shared" si="25"/>
        <v>#VALUE!</v>
      </c>
      <c r="H30" s="601" t="e">
        <f t="shared" si="25"/>
        <v>#VALUE!</v>
      </c>
      <c r="I30" s="601" t="e">
        <f t="shared" si="25"/>
        <v>#VALUE!</v>
      </c>
      <c r="J30" s="601" t="e">
        <f t="shared" si="25"/>
        <v>#VALUE!</v>
      </c>
      <c r="K30" s="601" t="e">
        <f t="shared" si="25"/>
        <v>#VALUE!</v>
      </c>
      <c r="L30" s="601" t="e">
        <f t="shared" si="25"/>
        <v>#VALUE!</v>
      </c>
      <c r="M30" s="601" t="e">
        <f t="shared" si="25"/>
        <v>#VALUE!</v>
      </c>
      <c r="N30" s="601" t="e">
        <f t="shared" si="25"/>
        <v>#VALUE!</v>
      </c>
      <c r="O30" s="601" t="e">
        <f t="shared" si="25"/>
        <v>#VALUE!</v>
      </c>
      <c r="P30" s="584" t="e">
        <f t="shared" si="21"/>
        <v>#VALUE!</v>
      </c>
      <c r="Q30" s="601" t="e">
        <f>O30*'Production Assumptions'!C6</f>
        <v>#VALUE!</v>
      </c>
      <c r="R30" s="601" t="e">
        <f>Q30</f>
        <v>#VALUE!</v>
      </c>
      <c r="S30" s="601" t="e">
        <f t="shared" ref="S30:AB30" si="26">R30</f>
        <v>#VALUE!</v>
      </c>
      <c r="T30" s="601" t="e">
        <f t="shared" si="26"/>
        <v>#VALUE!</v>
      </c>
      <c r="U30" s="601" t="e">
        <f t="shared" si="26"/>
        <v>#VALUE!</v>
      </c>
      <c r="V30" s="601" t="e">
        <f t="shared" si="26"/>
        <v>#VALUE!</v>
      </c>
      <c r="W30" s="601" t="e">
        <f t="shared" si="26"/>
        <v>#VALUE!</v>
      </c>
      <c r="X30" s="601" t="e">
        <f t="shared" si="26"/>
        <v>#VALUE!</v>
      </c>
      <c r="Y30" s="601" t="e">
        <f t="shared" si="26"/>
        <v>#VALUE!</v>
      </c>
      <c r="Z30" s="601" t="e">
        <f t="shared" si="26"/>
        <v>#VALUE!</v>
      </c>
      <c r="AA30" s="601" t="e">
        <f t="shared" si="26"/>
        <v>#VALUE!</v>
      </c>
      <c r="AB30" s="601" t="e">
        <f t="shared" si="26"/>
        <v>#VALUE!</v>
      </c>
      <c r="AC30" s="584" t="e">
        <f>($AB30*('Production Assumptions'!$C$6))*12</f>
        <v>#VALUE!</v>
      </c>
      <c r="AD30" s="584" t="e">
        <f>($AB30*('Production Assumptions'!$C$6)^AC2)*12</f>
        <v>#VALUE!</v>
      </c>
      <c r="AE30" s="582" t="e">
        <f>($AB30*('Production Assumptions'!$C$6)^AD2)*12</f>
        <v>#VALUE!</v>
      </c>
      <c r="AF30" s="584" t="e">
        <f>($AB30*('Production Assumptions'!$C$6)^AE2)*12</f>
        <v>#VALUE!</v>
      </c>
      <c r="AG30" s="582" t="e">
        <f>($AB30*('Production Assumptions'!$C$6)^AF2)*12</f>
        <v>#VALUE!</v>
      </c>
      <c r="AH30" s="584" t="e">
        <f>($AB30*('Production Assumptions'!$C$6)^AG2)*12</f>
        <v>#VALUE!</v>
      </c>
      <c r="AI30" s="582" t="e">
        <f>($AB30*('Production Assumptions'!$C$6)^AH2)*12</f>
        <v>#VALUE!</v>
      </c>
      <c r="AJ30" s="584" t="e">
        <f>($AB30*('Production Assumptions'!$C$6)^AI2)*12</f>
        <v>#VALUE!</v>
      </c>
    </row>
    <row r="31" spans="1:36" s="468" customFormat="1" ht="13.5" thickBot="1">
      <c r="A31" s="687"/>
      <c r="B31" s="559" t="s">
        <v>160</v>
      </c>
      <c r="C31" s="584" t="e">
        <f t="shared" si="20"/>
        <v>#VALUE!</v>
      </c>
      <c r="D31" s="601" t="e">
        <f>D$19*'Production Assumptions'!$C$75</f>
        <v>#VALUE!</v>
      </c>
      <c r="E31" s="601" t="e">
        <f>$D$31</f>
        <v>#VALUE!</v>
      </c>
      <c r="F31" s="601" t="e">
        <f t="shared" ref="F31:O31" si="27">$D$31</f>
        <v>#VALUE!</v>
      </c>
      <c r="G31" s="601" t="e">
        <f t="shared" si="27"/>
        <v>#VALUE!</v>
      </c>
      <c r="H31" s="601" t="e">
        <f t="shared" si="27"/>
        <v>#VALUE!</v>
      </c>
      <c r="I31" s="601" t="e">
        <f t="shared" si="27"/>
        <v>#VALUE!</v>
      </c>
      <c r="J31" s="601" t="e">
        <f t="shared" si="27"/>
        <v>#VALUE!</v>
      </c>
      <c r="K31" s="601" t="e">
        <f t="shared" si="27"/>
        <v>#VALUE!</v>
      </c>
      <c r="L31" s="601" t="e">
        <f t="shared" si="27"/>
        <v>#VALUE!</v>
      </c>
      <c r="M31" s="601" t="e">
        <f t="shared" si="27"/>
        <v>#VALUE!</v>
      </c>
      <c r="N31" s="601" t="e">
        <f t="shared" si="27"/>
        <v>#VALUE!</v>
      </c>
      <c r="O31" s="601" t="e">
        <f t="shared" si="27"/>
        <v>#VALUE!</v>
      </c>
      <c r="P31" s="584" t="e">
        <f t="shared" si="21"/>
        <v>#VALUE!</v>
      </c>
      <c r="Q31" s="601" t="e">
        <f>$O$31*('Production Assumptions'!$C$6)</f>
        <v>#VALUE!</v>
      </c>
      <c r="R31" s="601" t="e">
        <f>$O$31*('Production Assumptions'!$C$6)</f>
        <v>#VALUE!</v>
      </c>
      <c r="S31" s="601" t="e">
        <f>$O$31*('Production Assumptions'!$C$6)</f>
        <v>#VALUE!</v>
      </c>
      <c r="T31" s="601" t="e">
        <f>$O$31*('Production Assumptions'!$C$6)</f>
        <v>#VALUE!</v>
      </c>
      <c r="U31" s="601" t="e">
        <f>$O$31*('Production Assumptions'!$C$6)</f>
        <v>#VALUE!</v>
      </c>
      <c r="V31" s="601" t="e">
        <f>$O$31*('Production Assumptions'!$C$6)</f>
        <v>#VALUE!</v>
      </c>
      <c r="W31" s="601" t="e">
        <f>$O$31*('Production Assumptions'!$C$6)</f>
        <v>#VALUE!</v>
      </c>
      <c r="X31" s="601" t="e">
        <f>$O$31*('Production Assumptions'!$C$6)</f>
        <v>#VALUE!</v>
      </c>
      <c r="Y31" s="601" t="e">
        <f>$O$31*('Production Assumptions'!$C$6)</f>
        <v>#VALUE!</v>
      </c>
      <c r="Z31" s="601" t="e">
        <f>$O$31*('Production Assumptions'!$C$6)</f>
        <v>#VALUE!</v>
      </c>
      <c r="AA31" s="601" t="e">
        <f>$O$31*('Production Assumptions'!$C$6)</f>
        <v>#VALUE!</v>
      </c>
      <c r="AB31" s="601" t="e">
        <f>$O$31*('Production Assumptions'!$C$6)</f>
        <v>#VALUE!</v>
      </c>
      <c r="AC31" s="584" t="e">
        <f>($AB$31*('Production Assumptions'!$C$6))*12</f>
        <v>#VALUE!</v>
      </c>
      <c r="AD31" s="584" t="e">
        <f>($AB$31*('Production Assumptions'!$C$6)^AC2)*12</f>
        <v>#VALUE!</v>
      </c>
      <c r="AE31" s="582" t="e">
        <f>($AB$31*('Production Assumptions'!$C$6)^AD2)*12</f>
        <v>#VALUE!</v>
      </c>
      <c r="AF31" s="584" t="e">
        <f>($AB$31*('Production Assumptions'!$C$6)^AE2)*12</f>
        <v>#VALUE!</v>
      </c>
      <c r="AG31" s="582" t="e">
        <f>($AB$31*('Production Assumptions'!$C$6)^AF2)*12</f>
        <v>#VALUE!</v>
      </c>
      <c r="AH31" s="584" t="e">
        <f>($AB$31*('Production Assumptions'!$C$6)^AG2)*12</f>
        <v>#VALUE!</v>
      </c>
      <c r="AI31" s="582" t="e">
        <f>($AB$31*('Production Assumptions'!$C$6)^AH2)*12</f>
        <v>#VALUE!</v>
      </c>
      <c r="AJ31" s="584" t="e">
        <f>($AB$31*('Production Assumptions'!$C$6)^AI2)*12</f>
        <v>#VALUE!</v>
      </c>
    </row>
    <row r="32" spans="1:36" s="468" customFormat="1" ht="13.5" thickBot="1">
      <c r="B32" s="561" t="s">
        <v>161</v>
      </c>
      <c r="C32" s="585" t="e">
        <f t="shared" ref="C32:AJ32" si="28">SUM(C22:C31)</f>
        <v>#VALUE!</v>
      </c>
      <c r="D32" s="586" t="e">
        <f>SUM(D22:D31)</f>
        <v>#VALUE!</v>
      </c>
      <c r="E32" s="586" t="e">
        <f t="shared" si="28"/>
        <v>#VALUE!</v>
      </c>
      <c r="F32" s="586" t="e">
        <f t="shared" si="28"/>
        <v>#VALUE!</v>
      </c>
      <c r="G32" s="586" t="e">
        <f t="shared" si="28"/>
        <v>#VALUE!</v>
      </c>
      <c r="H32" s="586" t="e">
        <f t="shared" si="28"/>
        <v>#VALUE!</v>
      </c>
      <c r="I32" s="586" t="e">
        <f t="shared" si="28"/>
        <v>#VALUE!</v>
      </c>
      <c r="J32" s="586" t="e">
        <f t="shared" si="28"/>
        <v>#VALUE!</v>
      </c>
      <c r="K32" s="586" t="e">
        <f t="shared" si="28"/>
        <v>#VALUE!</v>
      </c>
      <c r="L32" s="586" t="e">
        <f t="shared" si="28"/>
        <v>#VALUE!</v>
      </c>
      <c r="M32" s="586" t="e">
        <f t="shared" si="28"/>
        <v>#VALUE!</v>
      </c>
      <c r="N32" s="586" t="e">
        <f t="shared" si="28"/>
        <v>#VALUE!</v>
      </c>
      <c r="O32" s="586" t="e">
        <f t="shared" si="28"/>
        <v>#VALUE!</v>
      </c>
      <c r="P32" s="585" t="e">
        <f t="shared" si="28"/>
        <v>#VALUE!</v>
      </c>
      <c r="Q32" s="586" t="e">
        <f t="shared" si="28"/>
        <v>#VALUE!</v>
      </c>
      <c r="R32" s="586" t="e">
        <f t="shared" si="28"/>
        <v>#VALUE!</v>
      </c>
      <c r="S32" s="586" t="e">
        <f t="shared" si="28"/>
        <v>#VALUE!</v>
      </c>
      <c r="T32" s="586" t="e">
        <f t="shared" si="28"/>
        <v>#VALUE!</v>
      </c>
      <c r="U32" s="586" t="e">
        <f t="shared" si="28"/>
        <v>#VALUE!</v>
      </c>
      <c r="V32" s="586" t="e">
        <f t="shared" si="28"/>
        <v>#VALUE!</v>
      </c>
      <c r="W32" s="586" t="e">
        <f t="shared" si="28"/>
        <v>#VALUE!</v>
      </c>
      <c r="X32" s="586" t="e">
        <f t="shared" si="28"/>
        <v>#VALUE!</v>
      </c>
      <c r="Y32" s="586" t="e">
        <f t="shared" si="28"/>
        <v>#VALUE!</v>
      </c>
      <c r="Z32" s="586" t="e">
        <f t="shared" si="28"/>
        <v>#VALUE!</v>
      </c>
      <c r="AA32" s="586" t="e">
        <f t="shared" si="28"/>
        <v>#VALUE!</v>
      </c>
      <c r="AB32" s="586" t="e">
        <f t="shared" si="28"/>
        <v>#VALUE!</v>
      </c>
      <c r="AC32" s="586" t="e">
        <f t="shared" si="28"/>
        <v>#VALUE!</v>
      </c>
      <c r="AD32" s="585" t="e">
        <f t="shared" si="28"/>
        <v>#VALUE!</v>
      </c>
      <c r="AE32" s="586" t="e">
        <f t="shared" si="28"/>
        <v>#VALUE!</v>
      </c>
      <c r="AF32" s="585" t="e">
        <f t="shared" si="28"/>
        <v>#VALUE!</v>
      </c>
      <c r="AG32" s="586" t="e">
        <f t="shared" si="28"/>
        <v>#VALUE!</v>
      </c>
      <c r="AH32" s="585" t="e">
        <f t="shared" si="28"/>
        <v>#VALUE!</v>
      </c>
      <c r="AI32" s="586" t="e">
        <f t="shared" si="28"/>
        <v>#VALUE!</v>
      </c>
      <c r="AJ32" s="585" t="e">
        <f t="shared" si="28"/>
        <v>#VALUE!</v>
      </c>
    </row>
    <row r="33" spans="2:36" s="468" customFormat="1" ht="13.5" thickBot="1">
      <c r="C33" s="587"/>
      <c r="D33" s="587"/>
      <c r="E33" s="582"/>
      <c r="F33" s="582"/>
      <c r="G33" s="582"/>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582"/>
    </row>
    <row r="34" spans="2:36" s="468" customFormat="1" ht="13.5" thickBot="1">
      <c r="B34" s="590" t="s">
        <v>162</v>
      </c>
      <c r="C34" s="591" t="e">
        <f t="shared" ref="C34:AJ34" si="29">C19+C32</f>
        <v>#VALUE!</v>
      </c>
      <c r="D34" s="592" t="e">
        <f t="shared" si="29"/>
        <v>#VALUE!</v>
      </c>
      <c r="E34" s="593" t="e">
        <f t="shared" si="29"/>
        <v>#VALUE!</v>
      </c>
      <c r="F34" s="593" t="e">
        <f t="shared" si="29"/>
        <v>#VALUE!</v>
      </c>
      <c r="G34" s="593" t="e">
        <f t="shared" si="29"/>
        <v>#VALUE!</v>
      </c>
      <c r="H34" s="593" t="e">
        <f t="shared" si="29"/>
        <v>#VALUE!</v>
      </c>
      <c r="I34" s="593" t="e">
        <f t="shared" si="29"/>
        <v>#VALUE!</v>
      </c>
      <c r="J34" s="593" t="e">
        <f t="shared" si="29"/>
        <v>#VALUE!</v>
      </c>
      <c r="K34" s="593" t="e">
        <f t="shared" si="29"/>
        <v>#VALUE!</v>
      </c>
      <c r="L34" s="593" t="e">
        <f t="shared" si="29"/>
        <v>#VALUE!</v>
      </c>
      <c r="M34" s="593" t="e">
        <f t="shared" si="29"/>
        <v>#VALUE!</v>
      </c>
      <c r="N34" s="593" t="e">
        <f t="shared" si="29"/>
        <v>#VALUE!</v>
      </c>
      <c r="O34" s="593" t="e">
        <f t="shared" si="29"/>
        <v>#VALUE!</v>
      </c>
      <c r="P34" s="591" t="e">
        <f t="shared" si="29"/>
        <v>#VALUE!</v>
      </c>
      <c r="Q34" s="593" t="e">
        <f t="shared" si="29"/>
        <v>#VALUE!</v>
      </c>
      <c r="R34" s="593" t="e">
        <f t="shared" si="29"/>
        <v>#VALUE!</v>
      </c>
      <c r="S34" s="593" t="e">
        <f t="shared" si="29"/>
        <v>#VALUE!</v>
      </c>
      <c r="T34" s="593" t="e">
        <f t="shared" si="29"/>
        <v>#VALUE!</v>
      </c>
      <c r="U34" s="593" t="e">
        <f t="shared" si="29"/>
        <v>#VALUE!</v>
      </c>
      <c r="V34" s="593" t="e">
        <f t="shared" si="29"/>
        <v>#VALUE!</v>
      </c>
      <c r="W34" s="593" t="e">
        <f t="shared" si="29"/>
        <v>#VALUE!</v>
      </c>
      <c r="X34" s="593" t="e">
        <f t="shared" si="29"/>
        <v>#VALUE!</v>
      </c>
      <c r="Y34" s="593" t="e">
        <f t="shared" si="29"/>
        <v>#VALUE!</v>
      </c>
      <c r="Z34" s="593" t="e">
        <f t="shared" si="29"/>
        <v>#VALUE!</v>
      </c>
      <c r="AA34" s="593" t="e">
        <f t="shared" si="29"/>
        <v>#VALUE!</v>
      </c>
      <c r="AB34" s="593" t="e">
        <f t="shared" si="29"/>
        <v>#VALUE!</v>
      </c>
      <c r="AC34" s="593" t="e">
        <f t="shared" si="29"/>
        <v>#VALUE!</v>
      </c>
      <c r="AD34" s="591" t="e">
        <f t="shared" si="29"/>
        <v>#VALUE!</v>
      </c>
      <c r="AE34" s="593" t="e">
        <f t="shared" si="29"/>
        <v>#VALUE!</v>
      </c>
      <c r="AF34" s="591" t="e">
        <f t="shared" si="29"/>
        <v>#VALUE!</v>
      </c>
      <c r="AG34" s="593" t="e">
        <f t="shared" si="29"/>
        <v>#VALUE!</v>
      </c>
      <c r="AH34" s="591" t="e">
        <f t="shared" si="29"/>
        <v>#VALUE!</v>
      </c>
      <c r="AI34" s="593" t="e">
        <f t="shared" si="29"/>
        <v>#VALUE!</v>
      </c>
      <c r="AJ34" s="591" t="e">
        <f t="shared" si="29"/>
        <v>#VALUE!</v>
      </c>
    </row>
    <row r="35" spans="2:36" s="468" customFormat="1" ht="13.5" thickBot="1">
      <c r="C35" s="587"/>
      <c r="D35" s="587"/>
      <c r="E35" s="582"/>
      <c r="F35" s="582"/>
      <c r="G35" s="582"/>
      <c r="H35" s="582"/>
      <c r="I35" s="582"/>
      <c r="J35" s="582"/>
      <c r="K35" s="582"/>
      <c r="L35" s="582"/>
      <c r="M35" s="582"/>
      <c r="N35" s="582"/>
      <c r="O35" s="582"/>
      <c r="P35" s="582"/>
      <c r="Q35" s="582"/>
      <c r="R35" s="582"/>
      <c r="S35" s="582"/>
      <c r="T35" s="582"/>
      <c r="U35" s="582"/>
      <c r="V35" s="582"/>
      <c r="W35" s="582"/>
      <c r="X35" s="582"/>
      <c r="Y35" s="582"/>
      <c r="Z35" s="582"/>
      <c r="AA35" s="582"/>
      <c r="AB35" s="582"/>
      <c r="AC35" s="582"/>
      <c r="AD35" s="582"/>
      <c r="AE35" s="582"/>
      <c r="AF35" s="582"/>
      <c r="AG35" s="582"/>
      <c r="AH35" s="582"/>
      <c r="AI35" s="582"/>
      <c r="AJ35" s="582"/>
    </row>
    <row r="36" spans="2:36" s="468" customFormat="1" ht="13.5" thickBot="1">
      <c r="B36" s="594" t="s">
        <v>163</v>
      </c>
      <c r="C36" s="595" t="e">
        <f t="shared" ref="C36:AJ36" si="30">C10-C34</f>
        <v>#VALUE!</v>
      </c>
      <c r="D36" s="596" t="e">
        <f t="shared" si="30"/>
        <v>#VALUE!</v>
      </c>
      <c r="E36" s="597" t="e">
        <f t="shared" si="30"/>
        <v>#VALUE!</v>
      </c>
      <c r="F36" s="597" t="e">
        <f t="shared" si="30"/>
        <v>#VALUE!</v>
      </c>
      <c r="G36" s="597" t="e">
        <f t="shared" si="30"/>
        <v>#VALUE!</v>
      </c>
      <c r="H36" s="597" t="e">
        <f t="shared" si="30"/>
        <v>#VALUE!</v>
      </c>
      <c r="I36" s="597" t="e">
        <f t="shared" si="30"/>
        <v>#VALUE!</v>
      </c>
      <c r="J36" s="597" t="e">
        <f t="shared" si="30"/>
        <v>#VALUE!</v>
      </c>
      <c r="K36" s="597" t="e">
        <f t="shared" si="30"/>
        <v>#VALUE!</v>
      </c>
      <c r="L36" s="597" t="e">
        <f t="shared" si="30"/>
        <v>#VALUE!</v>
      </c>
      <c r="M36" s="597" t="e">
        <f t="shared" si="30"/>
        <v>#VALUE!</v>
      </c>
      <c r="N36" s="597" t="e">
        <f t="shared" si="30"/>
        <v>#VALUE!</v>
      </c>
      <c r="O36" s="597" t="e">
        <f t="shared" si="30"/>
        <v>#VALUE!</v>
      </c>
      <c r="P36" s="595" t="e">
        <f t="shared" si="30"/>
        <v>#VALUE!</v>
      </c>
      <c r="Q36" s="597" t="e">
        <f t="shared" si="30"/>
        <v>#VALUE!</v>
      </c>
      <c r="R36" s="597" t="e">
        <f t="shared" si="30"/>
        <v>#VALUE!</v>
      </c>
      <c r="S36" s="597" t="e">
        <f t="shared" si="30"/>
        <v>#VALUE!</v>
      </c>
      <c r="T36" s="597" t="e">
        <f t="shared" si="30"/>
        <v>#VALUE!</v>
      </c>
      <c r="U36" s="597" t="e">
        <f t="shared" si="30"/>
        <v>#VALUE!</v>
      </c>
      <c r="V36" s="597" t="e">
        <f t="shared" si="30"/>
        <v>#VALUE!</v>
      </c>
      <c r="W36" s="597" t="e">
        <f t="shared" si="30"/>
        <v>#VALUE!</v>
      </c>
      <c r="X36" s="597" t="e">
        <f t="shared" si="30"/>
        <v>#VALUE!</v>
      </c>
      <c r="Y36" s="597" t="e">
        <f t="shared" si="30"/>
        <v>#VALUE!</v>
      </c>
      <c r="Z36" s="597" t="e">
        <f t="shared" si="30"/>
        <v>#VALUE!</v>
      </c>
      <c r="AA36" s="597" t="e">
        <f t="shared" si="30"/>
        <v>#VALUE!</v>
      </c>
      <c r="AB36" s="597" t="e">
        <f t="shared" si="30"/>
        <v>#VALUE!</v>
      </c>
      <c r="AC36" s="597" t="e">
        <f t="shared" si="30"/>
        <v>#VALUE!</v>
      </c>
      <c r="AD36" s="595" t="e">
        <f t="shared" si="30"/>
        <v>#VALUE!</v>
      </c>
      <c r="AE36" s="597" t="e">
        <f t="shared" si="30"/>
        <v>#VALUE!</v>
      </c>
      <c r="AF36" s="595" t="e">
        <f t="shared" si="30"/>
        <v>#VALUE!</v>
      </c>
      <c r="AG36" s="597" t="e">
        <f t="shared" si="30"/>
        <v>#VALUE!</v>
      </c>
      <c r="AH36" s="595" t="e">
        <f t="shared" si="30"/>
        <v>#VALUE!</v>
      </c>
      <c r="AI36" s="597" t="e">
        <f t="shared" si="30"/>
        <v>#VALUE!</v>
      </c>
      <c r="AJ36" s="595" t="e">
        <f t="shared" si="30"/>
        <v>#VALUE!</v>
      </c>
    </row>
    <row r="37" spans="2:36" s="468" customFormat="1">
      <c r="R37" s="598"/>
    </row>
    <row r="38" spans="2:36">
      <c r="R38" s="468"/>
      <c r="S38" s="468"/>
      <c r="T38" s="468"/>
      <c r="U38" s="468"/>
      <c r="V38" s="468"/>
      <c r="W38" s="468"/>
      <c r="X38" s="468"/>
      <c r="Y38" s="468"/>
      <c r="Z38" s="468"/>
      <c r="AA38" s="468"/>
      <c r="AB38" s="468"/>
      <c r="AC38" s="468"/>
      <c r="AD38" s="468"/>
      <c r="AE38" s="468"/>
      <c r="AF38" s="468"/>
      <c r="AG38" s="468"/>
      <c r="AH38" s="468"/>
      <c r="AI38" s="468"/>
      <c r="AJ38" s="468"/>
    </row>
    <row r="39" spans="2:36" s="468" customFormat="1"/>
  </sheetData>
  <mergeCells count="13">
    <mergeCell ref="A1:XFD1"/>
    <mergeCell ref="C3:C4"/>
    <mergeCell ref="D3:O3"/>
    <mergeCell ref="P3:P4"/>
    <mergeCell ref="Q3:AB3"/>
    <mergeCell ref="AC3:AC4"/>
    <mergeCell ref="AJ3:AJ4"/>
    <mergeCell ref="AD3:AD4"/>
    <mergeCell ref="AE3:AE4"/>
    <mergeCell ref="AF3:AF4"/>
    <mergeCell ref="AG3:AG4"/>
    <mergeCell ref="AH3:AH4"/>
    <mergeCell ref="AI3:AI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D1697-7609-42BE-9F4E-3EFA174C5526}">
  <sheetPr codeName="Sheet34">
    <tabColor rgb="FF92D050"/>
  </sheetPr>
  <dimension ref="A1:AB33"/>
  <sheetViews>
    <sheetView workbookViewId="0">
      <selection activeCell="R33" sqref="R33"/>
    </sheetView>
  </sheetViews>
  <sheetFormatPr defaultColWidth="9.140625" defaultRowHeight="12.75"/>
  <cols>
    <col min="1" max="1" width="3.7109375" style="468" customWidth="1"/>
    <col min="2" max="2" width="30.28515625" style="468" bestFit="1" customWidth="1"/>
    <col min="3" max="3" width="13.28515625" style="468" bestFit="1" customWidth="1"/>
    <col min="4" max="4" width="12.28515625" style="468" customWidth="1"/>
    <col min="5" max="8" width="12" style="468" bestFit="1" customWidth="1"/>
    <col min="9" max="9" width="13.7109375" style="468" customWidth="1"/>
    <col min="10" max="16384" width="9.140625" style="468"/>
  </cols>
  <sheetData>
    <row r="1" spans="1:28" ht="15">
      <c r="A1" s="1164" t="s">
        <v>429</v>
      </c>
      <c r="B1" s="1164"/>
      <c r="C1" s="1164"/>
      <c r="D1" s="1164"/>
      <c r="E1" s="1164"/>
      <c r="F1" s="1164"/>
      <c r="G1" s="1164"/>
      <c r="H1" s="1164"/>
      <c r="I1" s="1164"/>
      <c r="J1" s="1164"/>
      <c r="K1" s="1164"/>
      <c r="L1" s="1164"/>
      <c r="M1" s="1164"/>
      <c r="N1" s="1164"/>
      <c r="O1" s="1164"/>
      <c r="P1" s="1164"/>
      <c r="Q1" s="1164"/>
      <c r="R1" s="1164"/>
      <c r="S1" s="1164"/>
      <c r="T1" s="1164"/>
      <c r="U1" s="1164"/>
      <c r="V1" s="1164"/>
      <c r="W1" s="1164"/>
      <c r="X1" s="1164"/>
      <c r="Y1" s="1164"/>
      <c r="Z1" s="1164"/>
      <c r="AA1" s="1164"/>
      <c r="AB1" s="1164"/>
    </row>
    <row r="2" spans="1:28" ht="13.5" thickBot="1"/>
    <row r="3" spans="1:28" ht="13.5" thickBot="1">
      <c r="B3" s="1174" t="s">
        <v>237</v>
      </c>
      <c r="C3" s="614"/>
      <c r="D3" s="615"/>
      <c r="E3" s="615"/>
      <c r="F3" s="615"/>
      <c r="G3" s="615"/>
      <c r="H3" s="615"/>
    </row>
    <row r="4" spans="1:28" ht="13.5" thickBot="1">
      <c r="B4" s="1175"/>
      <c r="C4" s="617" t="s">
        <v>134</v>
      </c>
      <c r="D4" s="617" t="s">
        <v>135</v>
      </c>
      <c r="E4" s="617" t="s">
        <v>136</v>
      </c>
      <c r="F4" s="617" t="s">
        <v>137</v>
      </c>
      <c r="G4" s="617" t="s">
        <v>138</v>
      </c>
      <c r="H4" s="617" t="s">
        <v>139</v>
      </c>
      <c r="I4" s="618" t="s">
        <v>128</v>
      </c>
    </row>
    <row r="5" spans="1:28" ht="13.5" thickBot="1">
      <c r="B5" s="621" t="s">
        <v>148</v>
      </c>
      <c r="C5" s="622"/>
      <c r="D5" s="622"/>
      <c r="E5" s="622"/>
      <c r="F5" s="622"/>
      <c r="G5" s="622"/>
      <c r="H5" s="622"/>
      <c r="I5" s="623"/>
    </row>
    <row r="6" spans="1:28">
      <c r="B6" s="559" t="s">
        <v>481</v>
      </c>
      <c r="C6" s="628">
        <f>'OPEX - RAS'!D13</f>
        <v>15800</v>
      </c>
      <c r="D6" s="628">
        <f>'OPEX - RAS'!E13</f>
        <v>0</v>
      </c>
      <c r="E6" s="628">
        <f>'OPEX - RAS'!F13</f>
        <v>0</v>
      </c>
      <c r="F6" s="628">
        <f>'OPEX - RAS'!G13</f>
        <v>0</v>
      </c>
      <c r="G6" s="628">
        <f>'OPEX - RAS'!H13</f>
        <v>0</v>
      </c>
      <c r="H6" s="628">
        <f>'OPEX - RAS'!I13</f>
        <v>0</v>
      </c>
      <c r="I6" s="629">
        <f>IF(Interface!$E$19=Validation!D38,C6,IF(Interface!$E$19=Validation!D39,SUM(C6:D6),IF(Interface!$E$19=Validation!$D$40,SUM(C6:E6),IF(Interface!$E$19=Validation!$D$41,SUM(C6:F6),IF(Interface!$E$19=Validation!$D$42,SUM(C6:G6),IF(Interface!$E$19=Validation!$D$43,SUM(C6:H6),IF(Interface!$E$19=Validation!$D$44,SUM(C6:H6),)))))))</f>
        <v>15800</v>
      </c>
    </row>
    <row r="7" spans="1:28">
      <c r="B7" s="559" t="str">
        <f>'OPEX - RAS'!B14</f>
        <v>Feed</v>
      </c>
      <c r="C7" s="628" t="e">
        <f>'OPEX - RAS'!D14</f>
        <v>#VALUE!</v>
      </c>
      <c r="D7" s="628" t="e">
        <f>'OPEX - RAS'!E14</f>
        <v>#VALUE!</v>
      </c>
      <c r="E7" s="628" t="e">
        <f>'OPEX - RAS'!F14</f>
        <v>#VALUE!</v>
      </c>
      <c r="F7" s="628" t="e">
        <f>'OPEX - RAS'!G14</f>
        <v>#VALUE!</v>
      </c>
      <c r="G7" s="628" t="e">
        <f>'OPEX - RAS'!H14</f>
        <v>#VALUE!</v>
      </c>
      <c r="H7" s="628" t="e">
        <f>'OPEX - RAS'!I14</f>
        <v>#VALUE!</v>
      </c>
      <c r="I7" s="629" t="e">
        <f>IF(Interface!$E$19=Validation!D38,C7,IF(Interface!$E$19=Validation!D39,SUM(C7:D7),IF(Interface!$E$19=Validation!$D$40,SUM(C7:E7),IF(Interface!$E$19=Validation!$D$41,SUM(C7:F7),IF(Interface!$E$19=Validation!$D$42,SUM(C7:G7),IF(Interface!$E$19=Validation!$D$43,SUM(C7:H7),IF(Interface!$E$19=Validation!$D$44,SUM(C7:H7),)))))))</f>
        <v>#VALUE!</v>
      </c>
    </row>
    <row r="8" spans="1:28">
      <c r="B8" s="559" t="s">
        <v>480</v>
      </c>
      <c r="C8" s="628">
        <f>'OPEX - RAS'!D15</f>
        <v>0</v>
      </c>
      <c r="D8" s="628">
        <f>'OPEX - RAS'!E15</f>
        <v>0</v>
      </c>
      <c r="E8" s="628">
        <f>'OPEX - RAS'!F15</f>
        <v>0</v>
      </c>
      <c r="F8" s="628" t="e">
        <f>'OPEX - RAS'!G15</f>
        <v>#VALUE!</v>
      </c>
      <c r="G8" s="628" t="e">
        <f>'OPEX - RAS'!H15</f>
        <v>#VALUE!</v>
      </c>
      <c r="H8" s="628" t="e">
        <f>'OPEX - RAS'!I15</f>
        <v>#VALUE!</v>
      </c>
      <c r="I8" s="629" t="e">
        <f>IF(Interface!$E$19=Validation!D38,C8,IF(Interface!$E$19=Validation!D39,SUM(C8:D8),IF(Interface!$E$19=Validation!$D$40,SUM(C8:E8),IF(Interface!$E$19=Validation!$D$41,SUM(C8:F8),IF(Interface!$E$19=Validation!$D$42,SUM(C8:G8),IF(Interface!$E$19=Validation!$D$43,SUM(C8:H8),IF(Interface!$E$19=Validation!$D$44,SUM(C8:H8),)))))))</f>
        <v>#VALUE!</v>
      </c>
    </row>
    <row r="9" spans="1:28">
      <c r="B9" s="559" t="str">
        <f>'OPEX - RAS'!B16</f>
        <v>Packaging</v>
      </c>
      <c r="C9" s="628">
        <f>'OPEX - RAS'!D16</f>
        <v>0</v>
      </c>
      <c r="D9" s="628">
        <f>'OPEX - RAS'!E16</f>
        <v>0</v>
      </c>
      <c r="E9" s="628">
        <f>'OPEX - RAS'!F16</f>
        <v>0</v>
      </c>
      <c r="F9" s="628">
        <f>'OPEX - RAS'!G16</f>
        <v>0</v>
      </c>
      <c r="G9" s="628" t="e">
        <f>'OPEX - RAS'!H16</f>
        <v>#VALUE!</v>
      </c>
      <c r="H9" s="628" t="e">
        <f>'OPEX - RAS'!I16</f>
        <v>#VALUE!</v>
      </c>
      <c r="I9" s="629" t="e">
        <f>IF(Interface!$E$19=Validation!D38,C9,IF(Interface!$E$19=Validation!D39,SUM(C9:D9),IF(Interface!$E$19=Validation!$D$40,SUM(C9:E9),IF(Interface!$E$19=Validation!$D$41,SUM(C9:F9),IF(Interface!$E$19=Validation!$D$42,SUM(C9:G9),IF(Interface!$E$19=Validation!$D$43,SUM(C9:H9),IF(Interface!$E$19=Validation!$D$44,SUM(C9:H9),)))))))</f>
        <v>#VALUE!</v>
      </c>
    </row>
    <row r="10" spans="1:28">
      <c r="B10" s="559" t="str">
        <f>'OPEX - RAS'!B17</f>
        <v>Chemicals</v>
      </c>
      <c r="C10" s="628" t="e">
        <f>'OPEX - RAS'!D17</f>
        <v>#VALUE!</v>
      </c>
      <c r="D10" s="628" t="e">
        <f>'OPEX - RAS'!E17</f>
        <v>#VALUE!</v>
      </c>
      <c r="E10" s="628" t="e">
        <f>'OPEX - RAS'!F17</f>
        <v>#VALUE!</v>
      </c>
      <c r="F10" s="628" t="e">
        <f>'OPEX - RAS'!G17</f>
        <v>#VALUE!</v>
      </c>
      <c r="G10" s="628" t="e">
        <f>'OPEX - RAS'!H17</f>
        <v>#VALUE!</v>
      </c>
      <c r="H10" s="628" t="e">
        <f>'OPEX - RAS'!I17</f>
        <v>#VALUE!</v>
      </c>
      <c r="I10" s="629" t="e">
        <f>IF(Interface!$E$19=Validation!D42,C10,IF(Interface!$E$19=Validation!D43,SUM(C10:D10),IF(Interface!$E$19=Validation!$D$40,SUM(C10:E10),IF(Interface!$E$19=Validation!$D$41,SUM(C10:F10),IF(Interface!$E$19=Validation!$D$42,SUM(C10:G10),IF(Interface!$E$19=Validation!$D$43,SUM(C10:H10),IF(Interface!$E$19=Validation!$D$44,SUM(C10:H10),)))))))</f>
        <v>#VALUE!</v>
      </c>
    </row>
    <row r="11" spans="1:28" ht="13.5" thickBot="1">
      <c r="B11" s="559" t="str">
        <f>'OPEX - RAS'!B18</f>
        <v>Consumables</v>
      </c>
      <c r="C11" s="628" t="e">
        <f>'OPEX - RAS'!D18</f>
        <v>#VALUE!</v>
      </c>
      <c r="D11" s="628" t="e">
        <f>'OPEX - RAS'!E18</f>
        <v>#VALUE!</v>
      </c>
      <c r="E11" s="628" t="e">
        <f>'OPEX - RAS'!F18</f>
        <v>#VALUE!</v>
      </c>
      <c r="F11" s="628" t="e">
        <f>'OPEX - RAS'!G18</f>
        <v>#VALUE!</v>
      </c>
      <c r="G11" s="628" t="e">
        <f>'OPEX - RAS'!H18</f>
        <v>#VALUE!</v>
      </c>
      <c r="H11" s="628" t="e">
        <f>'OPEX - RAS'!I18</f>
        <v>#VALUE!</v>
      </c>
      <c r="I11" s="629" t="e">
        <f>IF(Interface!$E$19=Validation!D43,C11,IF(Interface!$E$19=Validation!D44,SUM(C11:D11),IF(Interface!$E$19=Validation!$D$40,SUM(C11:E11),IF(Interface!$E$19=Validation!$D$41,SUM(C11:F11),IF(Interface!$E$19=Validation!$D$42,SUM(C11:G11),IF(Interface!$E$19=Validation!$D$43,SUM(C11:H11),IF(Interface!$E$19=Validation!$D$44,SUM(C11:H11),)))))))</f>
        <v>#VALUE!</v>
      </c>
    </row>
    <row r="12" spans="1:28" ht="13.5" thickBot="1">
      <c r="B12" s="561" t="s">
        <v>150</v>
      </c>
      <c r="C12" s="630" t="e">
        <f t="shared" ref="C12:I12" si="0">SUM(C6:C9)</f>
        <v>#VALUE!</v>
      </c>
      <c r="D12" s="630" t="e">
        <f t="shared" si="0"/>
        <v>#VALUE!</v>
      </c>
      <c r="E12" s="630" t="e">
        <f t="shared" si="0"/>
        <v>#VALUE!</v>
      </c>
      <c r="F12" s="630" t="e">
        <f t="shared" si="0"/>
        <v>#VALUE!</v>
      </c>
      <c r="G12" s="630" t="e">
        <f t="shared" si="0"/>
        <v>#VALUE!</v>
      </c>
      <c r="H12" s="630" t="e">
        <f t="shared" si="0"/>
        <v>#VALUE!</v>
      </c>
      <c r="I12" s="631" t="e">
        <f t="shared" si="0"/>
        <v>#VALUE!</v>
      </c>
    </row>
    <row r="13" spans="1:28" ht="13.5" thickBot="1">
      <c r="C13" s="627"/>
      <c r="D13" s="627"/>
      <c r="E13" s="627"/>
      <c r="F13" s="627"/>
      <c r="G13" s="627"/>
      <c r="H13" s="627"/>
    </row>
    <row r="14" spans="1:28" ht="13.5" thickBot="1">
      <c r="B14" s="619" t="s">
        <v>151</v>
      </c>
      <c r="C14" s="563"/>
      <c r="D14" s="563"/>
      <c r="E14" s="563"/>
      <c r="F14" s="563"/>
      <c r="G14" s="563"/>
      <c r="H14" s="563"/>
      <c r="I14" s="620"/>
    </row>
    <row r="15" spans="1:28">
      <c r="B15" s="559" t="str">
        <f>'OPEX - RAS'!B22</f>
        <v>Salaries - Staff</v>
      </c>
      <c r="C15" s="560" t="e">
        <f>'OPEX - RAS'!D22</f>
        <v>#VALUE!</v>
      </c>
      <c r="D15" s="560" t="e">
        <f>'OPEX - RAS'!E22</f>
        <v>#VALUE!</v>
      </c>
      <c r="E15" s="560" t="e">
        <f>'OPEX - RAS'!F22</f>
        <v>#VALUE!</v>
      </c>
      <c r="F15" s="560" t="e">
        <f>'OPEX - RAS'!G22</f>
        <v>#VALUE!</v>
      </c>
      <c r="G15" s="560" t="e">
        <f>'OPEX - RAS'!H22</f>
        <v>#VALUE!</v>
      </c>
      <c r="H15" s="560" t="e">
        <f>'OPEX - RAS'!I22</f>
        <v>#VALUE!</v>
      </c>
      <c r="I15" s="629" t="e">
        <f>IF(Interface!$E$19=Validation!$D$38,C15,IF(Interface!$E$19=Validation!$D$39,SUM(C15:D15),IF(Interface!$E$19=Validation!$D$40,SUM(C15:E15),IF(Interface!$E$19=Validation!$D$41,SUM(C15:F15),IF(Interface!$E$19=Validation!$D$42,SUM(C15:G15),IF(Interface!$E$19=Validation!$D$43,SUM(C15:H15),IF(Interface!$E$19=Validation!$D$44,SUM(C15:H15),)))))))</f>
        <v>#VALUE!</v>
      </c>
    </row>
    <row r="16" spans="1:28">
      <c r="B16" s="559" t="str">
        <f>'OPEX - RAS'!B23</f>
        <v>Telephone Expenses</v>
      </c>
      <c r="C16" s="560">
        <f>'OPEX - RAS'!D23</f>
        <v>800</v>
      </c>
      <c r="D16" s="560">
        <f>'OPEX - RAS'!E23</f>
        <v>800</v>
      </c>
      <c r="E16" s="560">
        <f>'OPEX - RAS'!F23</f>
        <v>800</v>
      </c>
      <c r="F16" s="560">
        <f>'OPEX - RAS'!G23</f>
        <v>800</v>
      </c>
      <c r="G16" s="560">
        <f>'OPEX - RAS'!H23</f>
        <v>800</v>
      </c>
      <c r="H16" s="560">
        <f>'OPEX - RAS'!I23</f>
        <v>800</v>
      </c>
      <c r="I16" s="629">
        <f>IF(Interface!$E$19=Validation!$D$38,C16,IF(Interface!$E$19=Validation!$D$39,SUM(C16:D16),IF(Interface!$E$19=Validation!$D$40,SUM(C16:E16),IF(Interface!$E$19=Validation!$D$41,SUM(C16:F16),IF(Interface!$E$19=Validation!$D$42,SUM(C16:G16),IF(Interface!$E$19=Validation!$D$43,SUM(C16:H16),IF(Interface!$E$19=Validation!$D$44,SUM(C16:H16),)))))))</f>
        <v>4000</v>
      </c>
    </row>
    <row r="17" spans="2:9">
      <c r="B17" s="559" t="str">
        <f>'OPEX - RAS'!B24</f>
        <v>Electricity</v>
      </c>
      <c r="C17" s="560" t="e">
        <f>'OPEX - RAS'!D24</f>
        <v>#VALUE!</v>
      </c>
      <c r="D17" s="560" t="e">
        <f>'OPEX - RAS'!E24</f>
        <v>#VALUE!</v>
      </c>
      <c r="E17" s="560" t="e">
        <f>'OPEX - RAS'!F24</f>
        <v>#VALUE!</v>
      </c>
      <c r="F17" s="560" t="e">
        <f>'OPEX - RAS'!G24</f>
        <v>#VALUE!</v>
      </c>
      <c r="G17" s="560" t="e">
        <f>'OPEX - RAS'!H24</f>
        <v>#VALUE!</v>
      </c>
      <c r="H17" s="560" t="e">
        <f>'OPEX - RAS'!I24</f>
        <v>#VALUE!</v>
      </c>
      <c r="I17" s="629" t="e">
        <f>IF(Interface!$E$19=Validation!$D$38,C17,IF(Interface!$E$19=Validation!$D$39,SUM(C17:D17),IF(Interface!$E$19=Validation!$D$40,SUM(C17:E17),IF(Interface!$E$19=Validation!$D$41,SUM(C17:F17),IF(Interface!$E$19=Validation!$D$42,SUM(C17:G17),IF(Interface!$E$19=Validation!$D$43,SUM(C17:H17),IF(Interface!$E$19=Validation!$D$44,SUM(C17:H17),)))))))</f>
        <v>#VALUE!</v>
      </c>
    </row>
    <row r="18" spans="2:9">
      <c r="B18" s="559" t="str">
        <f>'OPEX - RAS'!B25</f>
        <v>Health and safety apparel</v>
      </c>
      <c r="C18" s="560" t="e">
        <f>'OPEX - RAS'!D25</f>
        <v>#VALUE!</v>
      </c>
      <c r="D18" s="560">
        <f>'OPEX - RAS'!E25</f>
        <v>0</v>
      </c>
      <c r="E18" s="560">
        <f>'OPEX - RAS'!F25</f>
        <v>0</v>
      </c>
      <c r="F18" s="560">
        <f>'OPEX - RAS'!G25</f>
        <v>0</v>
      </c>
      <c r="G18" s="560">
        <f>'OPEX - RAS'!H25</f>
        <v>0</v>
      </c>
      <c r="H18" s="560">
        <f>'OPEX - RAS'!I25</f>
        <v>0</v>
      </c>
      <c r="I18" s="629" t="e">
        <f>IF(Interface!$E$19=Validation!$D$38,C18,IF(Interface!$E$19=Validation!$D$39,SUM(C18:D18),IF(Interface!$E$19=Validation!$D$40,SUM(C18:E18),IF(Interface!$E$19=Validation!$D$41,SUM(C18:F18),IF(Interface!$E$19=Validation!$D$42,SUM(C18:G18),IF(Interface!$E$19=Validation!$D$43,SUM(C18:H18),IF(Interface!$E$19=Validation!$D$44,SUM(C18:H18),)))))))</f>
        <v>#VALUE!</v>
      </c>
    </row>
    <row r="19" spans="2:9">
      <c r="B19" s="559" t="str">
        <f>'OPEX - RAS'!B26</f>
        <v>stationary</v>
      </c>
      <c r="C19" s="560">
        <f>'OPEX - RAS'!D26</f>
        <v>100</v>
      </c>
      <c r="D19" s="560">
        <f>'OPEX - RAS'!E26</f>
        <v>100</v>
      </c>
      <c r="E19" s="560">
        <f>'OPEX - RAS'!F26</f>
        <v>100</v>
      </c>
      <c r="F19" s="560">
        <f>'OPEX - RAS'!G26</f>
        <v>100</v>
      </c>
      <c r="G19" s="560">
        <f>'OPEX - RAS'!H26</f>
        <v>100</v>
      </c>
      <c r="H19" s="560">
        <f>'OPEX - RAS'!I26</f>
        <v>100</v>
      </c>
      <c r="I19" s="629">
        <f>IF(Interface!$E$19=Validation!$D$38,C19,IF(Interface!$E$19=Validation!$D$39,SUM(C19:D19),IF(Interface!$E$19=Validation!$D$40,SUM(C19:E19),IF(Interface!$E$19=Validation!$D$41,SUM(C19:F19),IF(Interface!$E$19=Validation!$D$42,SUM(C19:G19),IF(Interface!$E$19=Validation!$D$43,SUM(C19:H19),IF(Interface!$E$19=Validation!$D$44,SUM(C19:H19),)))))))</f>
        <v>500</v>
      </c>
    </row>
    <row r="20" spans="2:9">
      <c r="B20" s="559" t="str">
        <f>'OPEX - RAS'!B27</f>
        <v>Cleaning materials</v>
      </c>
      <c r="C20" s="560">
        <f>'OPEX - RAS'!D27</f>
        <v>500</v>
      </c>
      <c r="D20" s="560">
        <f>'OPEX - RAS'!E27</f>
        <v>500</v>
      </c>
      <c r="E20" s="560">
        <f>'OPEX - RAS'!F27</f>
        <v>500</v>
      </c>
      <c r="F20" s="560">
        <f>'OPEX - RAS'!G27</f>
        <v>500</v>
      </c>
      <c r="G20" s="560">
        <f>'OPEX - RAS'!H27</f>
        <v>500</v>
      </c>
      <c r="H20" s="560">
        <f>'OPEX - RAS'!I27</f>
        <v>500</v>
      </c>
      <c r="I20" s="629">
        <f>IF(Interface!$E$19=Validation!$D$38,C20,IF(Interface!$E$19=Validation!$D$39,SUM(C20:D20),IF(Interface!$E$19=Validation!$D$40,SUM(C20:E20),IF(Interface!$E$19=Validation!$D$41,SUM(C20:F20),IF(Interface!$E$19=Validation!$D$42,SUM(C20:G20),IF(Interface!$E$19=Validation!$D$43,SUM(C20:H20),IF(Interface!$E$19=Validation!$D$44,SUM(C20:H20),)))))))</f>
        <v>2500</v>
      </c>
    </row>
    <row r="21" spans="2:9">
      <c r="B21" s="559" t="str">
        <f>'OPEX - RAS'!B28</f>
        <v>Vet Services</v>
      </c>
      <c r="C21" s="560">
        <f>'OPEX - RAS'!D28</f>
        <v>1950</v>
      </c>
      <c r="D21" s="560">
        <f>'OPEX - RAS'!E28</f>
        <v>0</v>
      </c>
      <c r="E21" s="560">
        <f>'OPEX - RAS'!F28</f>
        <v>0</v>
      </c>
      <c r="F21" s="560">
        <f>'OPEX - RAS'!G28</f>
        <v>1950</v>
      </c>
      <c r="G21" s="560">
        <f>'OPEX - RAS'!H28</f>
        <v>0</v>
      </c>
      <c r="H21" s="560">
        <f>'OPEX - RAS'!I28</f>
        <v>0</v>
      </c>
      <c r="I21" s="629">
        <f>IF(Interface!$E$19=Validation!$D$38,C21,IF(Interface!$E$19=Validation!$D$39,SUM(C21:D21),IF(Interface!$E$19=Validation!$D$40,SUM(C21:E21),IF(Interface!$E$19=Validation!$D$41,SUM(C21:F21),IF(Interface!$E$19=Validation!$D$42,SUM(C21:G21),IF(Interface!$E$19=Validation!$D$43,SUM(C21:H21),IF(Interface!$E$19=Validation!$D$44,SUM(C21:H21),)))))))</f>
        <v>3900</v>
      </c>
    </row>
    <row r="22" spans="2:9">
      <c r="B22" s="559" t="str">
        <f>'OPEX - RAS'!B29</f>
        <v>Bank Charges</v>
      </c>
      <c r="C22" s="560">
        <f>'OPEX - RAS'!D29</f>
        <v>60</v>
      </c>
      <c r="D22" s="560">
        <f>'OPEX - RAS'!E29</f>
        <v>60</v>
      </c>
      <c r="E22" s="560">
        <f>'OPEX - RAS'!F29</f>
        <v>60</v>
      </c>
      <c r="F22" s="560">
        <f>'OPEX - RAS'!G29</f>
        <v>60</v>
      </c>
      <c r="G22" s="560">
        <f>'OPEX - RAS'!H29</f>
        <v>60</v>
      </c>
      <c r="H22" s="560">
        <f>'OPEX - RAS'!I29</f>
        <v>60</v>
      </c>
      <c r="I22" s="629">
        <f>IF(Interface!$E$19=Validation!$D$38,C22,IF(Interface!$E$19=Validation!$D$39,SUM(C22:D22),IF(Interface!$E$19=Validation!$D$40,SUM(C22:E22),IF(Interface!$E$19=Validation!$D$41,SUM(C22:F22),IF(Interface!$E$19=Validation!$D$42,SUM(C22:G22),IF(Interface!$E$19=Validation!$D$43,SUM(C22:H22),IF(Interface!$E$19=Validation!$D$44,SUM(C22:H22),)))))))</f>
        <v>300</v>
      </c>
    </row>
    <row r="23" spans="2:9">
      <c r="B23" s="559" t="str">
        <f>'OPEX - RAS'!B30</f>
        <v>Marketing</v>
      </c>
      <c r="C23" s="560" t="e">
        <f>'OPEX - RAS'!D30</f>
        <v>#VALUE!</v>
      </c>
      <c r="D23" s="560" t="e">
        <f>'OPEX - RAS'!E30</f>
        <v>#VALUE!</v>
      </c>
      <c r="E23" s="560" t="e">
        <f>'OPEX - RAS'!F30</f>
        <v>#VALUE!</v>
      </c>
      <c r="F23" s="560" t="e">
        <f>'OPEX - RAS'!G30</f>
        <v>#VALUE!</v>
      </c>
      <c r="G23" s="560" t="e">
        <f>'OPEX - RAS'!H30</f>
        <v>#VALUE!</v>
      </c>
      <c r="H23" s="560" t="e">
        <f>'OPEX - RAS'!I30</f>
        <v>#VALUE!</v>
      </c>
      <c r="I23" s="629" t="e">
        <f>IF(Interface!$E$19=Validation!$D$38,C23,IF(Interface!$E$19=Validation!$D$39,SUM(C23:D23),IF(Interface!$E$19=Validation!$D$40,SUM(C23:E23),IF(Interface!$E$19=Validation!$D$41,SUM(C23:F23),IF(Interface!$E$19=Validation!$D$42,SUM(C23:G23),IF(Interface!$E$19=Validation!$D$43,SUM(C23:H23),IF(Interface!$E$19=Validation!$D$44,SUM(C23:H23),)))))))</f>
        <v>#VALUE!</v>
      </c>
    </row>
    <row r="24" spans="2:9" ht="13.5" thickBot="1">
      <c r="B24" s="559" t="str">
        <f>'OPEX - RAS'!B31</f>
        <v>Reserve &amp; Unforeseen Cost</v>
      </c>
      <c r="C24" s="560" t="e">
        <f>'OPEX - RAS'!D31</f>
        <v>#VALUE!</v>
      </c>
      <c r="D24" s="560" t="e">
        <f>'OPEX - RAS'!E31</f>
        <v>#VALUE!</v>
      </c>
      <c r="E24" s="560" t="e">
        <f>'OPEX - RAS'!F31</f>
        <v>#VALUE!</v>
      </c>
      <c r="F24" s="560" t="e">
        <f>'OPEX - RAS'!G31</f>
        <v>#VALUE!</v>
      </c>
      <c r="G24" s="560" t="e">
        <f>'OPEX - RAS'!H31</f>
        <v>#VALUE!</v>
      </c>
      <c r="H24" s="560" t="e">
        <f>'OPEX - RAS'!I31</f>
        <v>#VALUE!</v>
      </c>
      <c r="I24" s="629" t="e">
        <f>IF(Interface!$E$19=Validation!$D$38,C24,IF(Interface!$E$19=Validation!$D$39,SUM(C24:D24),IF(Interface!$E$19=Validation!$D$40,SUM(C24:E24),IF(Interface!$E$19=Validation!$D$41,SUM(C24:F24),IF(Interface!$E$19=Validation!$D$42,SUM(C24:G24),IF(Interface!$E$19=Validation!$D$43,SUM(C24:H24),IF(Interface!$E$19=Validation!$D$44,SUM(C24:H24),)))))))</f>
        <v>#VALUE!</v>
      </c>
    </row>
    <row r="25" spans="2:9" ht="13.5" thickBot="1">
      <c r="B25" s="561" t="s">
        <v>161</v>
      </c>
      <c r="C25" s="562" t="e">
        <f t="shared" ref="C25:I25" si="1">SUM(C15:C24)</f>
        <v>#VALUE!</v>
      </c>
      <c r="D25" s="562" t="e">
        <f t="shared" si="1"/>
        <v>#VALUE!</v>
      </c>
      <c r="E25" s="562" t="e">
        <f t="shared" si="1"/>
        <v>#VALUE!</v>
      </c>
      <c r="F25" s="562" t="e">
        <f t="shared" si="1"/>
        <v>#VALUE!</v>
      </c>
      <c r="G25" s="562" t="e">
        <f t="shared" si="1"/>
        <v>#VALUE!</v>
      </c>
      <c r="H25" s="562" t="e">
        <f t="shared" si="1"/>
        <v>#VALUE!</v>
      </c>
      <c r="I25" s="564" t="e">
        <f t="shared" si="1"/>
        <v>#VALUE!</v>
      </c>
    </row>
    <row r="26" spans="2:9" ht="13.5" thickBot="1">
      <c r="C26" s="627"/>
      <c r="D26" s="627"/>
      <c r="E26" s="627"/>
      <c r="F26" s="627"/>
      <c r="G26" s="627"/>
      <c r="H26" s="627"/>
    </row>
    <row r="27" spans="2:9" ht="13.5" thickBot="1">
      <c r="B27" s="565" t="s">
        <v>162</v>
      </c>
      <c r="C27" s="566" t="e">
        <f t="shared" ref="C27:I27" si="2">SUM(C25,C12)</f>
        <v>#VALUE!</v>
      </c>
      <c r="D27" s="566" t="e">
        <f t="shared" si="2"/>
        <v>#VALUE!</v>
      </c>
      <c r="E27" s="566" t="e">
        <f t="shared" si="2"/>
        <v>#VALUE!</v>
      </c>
      <c r="F27" s="566" t="e">
        <f t="shared" si="2"/>
        <v>#VALUE!</v>
      </c>
      <c r="G27" s="566" t="e">
        <f t="shared" si="2"/>
        <v>#VALUE!</v>
      </c>
      <c r="H27" s="566" t="e">
        <f t="shared" si="2"/>
        <v>#VALUE!</v>
      </c>
      <c r="I27" s="567" t="e">
        <f t="shared" si="2"/>
        <v>#VALUE!</v>
      </c>
    </row>
    <row r="28" spans="2:9" ht="13.5" thickBot="1"/>
    <row r="29" spans="2:9" ht="13.5" thickBot="1">
      <c r="B29" s="1173" t="s">
        <v>550</v>
      </c>
      <c r="C29" s="1173"/>
    </row>
    <row r="30" spans="2:9" ht="13.5" thickBot="1">
      <c r="B30" s="624" t="s">
        <v>238</v>
      </c>
      <c r="C30" s="624" t="s">
        <v>11</v>
      </c>
    </row>
    <row r="31" spans="2:9">
      <c r="B31" s="632" t="s">
        <v>251</v>
      </c>
      <c r="C31" s="633" t="e">
        <f>I12</f>
        <v>#VALUE!</v>
      </c>
    </row>
    <row r="32" spans="2:9" ht="13.5" thickBot="1">
      <c r="B32" s="634" t="s">
        <v>252</v>
      </c>
      <c r="C32" s="635" t="e">
        <f>I25</f>
        <v>#VALUE!</v>
      </c>
    </row>
    <row r="33" spans="2:3" ht="13.5" thickBot="1">
      <c r="B33" s="625" t="s">
        <v>20</v>
      </c>
      <c r="C33" s="626" t="e">
        <f>SUM(C31:C32)</f>
        <v>#VALUE!</v>
      </c>
    </row>
  </sheetData>
  <mergeCells count="3">
    <mergeCell ref="B29:C29"/>
    <mergeCell ref="B3:B4"/>
    <mergeCell ref="A1:AB1"/>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7" id="{6D7E95EB-209E-48EA-8A65-EE044BC78EB2}">
            <xm:f>Interface!$E$19=Validation!$D$40</xm:f>
            <x14:dxf>
              <font>
                <color theme="4" tint="-0.499984740745262"/>
              </font>
            </x14:dxf>
          </x14:cfRule>
          <xm:sqref>F6:H11 F15:H24</xm:sqref>
        </x14:conditionalFormatting>
        <x14:conditionalFormatting xmlns:xm="http://schemas.microsoft.com/office/excel/2006/main">
          <x14:cfRule type="expression" priority="9" id="{D8FFD918-A143-4653-9481-F0E3D47BDE95}">
            <xm:f>Interface!$E$19=Validation!$D$40</xm:f>
            <x14:dxf>
              <font>
                <color rgb="FFC00000"/>
              </font>
            </x14:dxf>
          </x14:cfRule>
          <xm:sqref>F12:H12 F25:H25</xm:sqref>
        </x14:conditionalFormatting>
        <x14:conditionalFormatting xmlns:xm="http://schemas.microsoft.com/office/excel/2006/main">
          <x14:cfRule type="expression" priority="4" id="{DAA6B2D8-55F2-448A-83E2-115A498F99F6}">
            <xm:f>Interface!$E$19=Validation!$D$40</xm:f>
            <x14:dxf>
              <font>
                <color rgb="FF002060"/>
              </font>
            </x14:dxf>
          </x14:cfRule>
          <xm:sqref>F27:H27</xm:sqref>
        </x14:conditionalFormatting>
        <x14:conditionalFormatting xmlns:xm="http://schemas.microsoft.com/office/excel/2006/main">
          <x14:cfRule type="expression" priority="49" id="{C35FB8D4-DFF4-4D58-A299-AFF8474B3E24}">
            <xm:f>Interface!$E$19=Validation!#REF!</xm:f>
            <x14:dxf>
              <font>
                <color theme="4" tint="-0.499984740745262"/>
              </font>
            </x14:dxf>
          </x14:cfRule>
          <xm:sqref>D6:H11 D15:H24</xm:sqref>
        </x14:conditionalFormatting>
        <x14:conditionalFormatting xmlns:xm="http://schemas.microsoft.com/office/excel/2006/main">
          <x14:cfRule type="expression" priority="51" id="{0D86355B-98E3-4809-8487-65ACD94335E4}">
            <xm:f>Interface!$E$19=Validation!#REF!</xm:f>
            <x14:dxf>
              <font>
                <color theme="4" tint="-0.499984740745262"/>
              </font>
            </x14:dxf>
          </x14:cfRule>
          <xm:sqref>E6:H11 E15:H24</xm:sqref>
        </x14:conditionalFormatting>
        <x14:conditionalFormatting xmlns:xm="http://schemas.microsoft.com/office/excel/2006/main">
          <x14:cfRule type="expression" priority="59" id="{2BFCD367-8320-45D8-BE4D-376DE11283DB}">
            <xm:f>Interface!$E$19=Validation!#REF!</xm:f>
            <x14:dxf>
              <font>
                <color rgb="FFC00000"/>
              </font>
            </x14:dxf>
          </x14:cfRule>
          <xm:sqref>D12:H12 D25:H25</xm:sqref>
        </x14:conditionalFormatting>
        <x14:conditionalFormatting xmlns:xm="http://schemas.microsoft.com/office/excel/2006/main">
          <x14:cfRule type="expression" priority="61" id="{5691179D-66D6-4D95-9E94-EBB57424165F}">
            <xm:f>Interface!$E$19=Validation!#REF!</xm:f>
            <x14:dxf>
              <font>
                <color rgb="FF002060"/>
              </font>
            </x14:dxf>
          </x14:cfRule>
          <xm:sqref>D27:H27</xm:sqref>
        </x14:conditionalFormatting>
        <x14:conditionalFormatting xmlns:xm="http://schemas.microsoft.com/office/excel/2006/main">
          <x14:cfRule type="expression" priority="62" id="{BEBBD42A-2784-4411-86A2-942D9698BBA0}">
            <xm:f>Interface!$E$19=Validation!#REF!</xm:f>
            <x14:dxf>
              <font>
                <color rgb="FFC00000"/>
              </font>
            </x14:dxf>
          </x14:cfRule>
          <xm:sqref>E12:H12 E25:H25</xm:sqref>
        </x14:conditionalFormatting>
        <x14:conditionalFormatting xmlns:xm="http://schemas.microsoft.com/office/excel/2006/main">
          <x14:cfRule type="expression" priority="70" id="{34B99014-9A09-4176-9B58-8C4D68DEE29F}">
            <xm:f>Interface!$E$19=Validation!#REF!</xm:f>
            <x14:dxf>
              <font>
                <color rgb="FF002060"/>
              </font>
            </x14:dxf>
          </x14:cfRule>
          <xm:sqref>E27:H27</xm:sqref>
        </x14:conditionalFormatting>
        <x14:conditionalFormatting xmlns:xm="http://schemas.microsoft.com/office/excel/2006/main">
          <x14:cfRule type="expression" priority="86" id="{0D86355B-98E3-4809-8487-65ACD94335E4}">
            <xm:f>Interface!$E$19=Validation!$D$41</xm:f>
            <x14:dxf>
              <font>
                <color theme="4" tint="-0.499984740745262"/>
              </font>
            </x14:dxf>
          </x14:cfRule>
          <xm:sqref>G6:H11 G15:H24</xm:sqref>
        </x14:conditionalFormatting>
        <x14:conditionalFormatting xmlns:xm="http://schemas.microsoft.com/office/excel/2006/main">
          <x14:cfRule type="expression" priority="88" id="{6D7E95EB-209E-48EA-8A65-EE044BC78EB2}">
            <xm:f>Interface!$E$19=Validation!$D$42</xm:f>
            <x14:dxf>
              <font>
                <color theme="4" tint="-0.499984740745262"/>
              </font>
            </x14:dxf>
          </x14:cfRule>
          <xm:sqref>H6:H11 H15:H24</xm:sqref>
        </x14:conditionalFormatting>
        <x14:conditionalFormatting xmlns:xm="http://schemas.microsoft.com/office/excel/2006/main">
          <x14:cfRule type="expression" priority="93" id="{BEBBD42A-2784-4411-86A2-942D9698BBA0}">
            <xm:f>Interface!$E$19=Validation!$D$41</xm:f>
            <x14:dxf>
              <font>
                <color rgb="FFC00000"/>
              </font>
            </x14:dxf>
          </x14:cfRule>
          <xm:sqref>G12:H12 G25:H25</xm:sqref>
        </x14:conditionalFormatting>
        <x14:conditionalFormatting xmlns:xm="http://schemas.microsoft.com/office/excel/2006/main">
          <x14:cfRule type="expression" priority="95" id="{D8FFD918-A143-4653-9481-F0E3D47BDE95}">
            <xm:f>Interface!$E$19=Validation!$D$42</xm:f>
            <x14:dxf>
              <font>
                <color rgb="FFC00000"/>
              </font>
            </x14:dxf>
          </x14:cfRule>
          <xm:sqref>H12 H25</xm:sqref>
        </x14:conditionalFormatting>
        <x14:conditionalFormatting xmlns:xm="http://schemas.microsoft.com/office/excel/2006/main">
          <x14:cfRule type="expression" priority="97" id="{34B99014-9A09-4176-9B58-8C4D68DEE29F}">
            <xm:f>Interface!$E$19=Validation!$D$41</xm:f>
            <x14:dxf>
              <font>
                <color rgb="FF002060"/>
              </font>
            </x14:dxf>
          </x14:cfRule>
          <xm:sqref>G27:H27</xm:sqref>
        </x14:conditionalFormatting>
        <x14:conditionalFormatting xmlns:xm="http://schemas.microsoft.com/office/excel/2006/main">
          <x14:cfRule type="expression" priority="98" id="{DAA6B2D8-55F2-448A-83E2-115A498F99F6}">
            <xm:f>Interface!$E$19=Validation!$D$42</xm:f>
            <x14:dxf>
              <font>
                <color rgb="FF002060"/>
              </font>
            </x14:dxf>
          </x14:cfRule>
          <xm:sqref>H27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EC4BB-1F50-42DA-916F-D2F4A3EF430E}">
  <sheetPr codeName="Sheet21">
    <tabColor rgb="FF92D050"/>
  </sheetPr>
  <dimension ref="A1:N53"/>
  <sheetViews>
    <sheetView zoomScale="90" zoomScaleNormal="90" workbookViewId="0">
      <selection activeCell="A27" sqref="A27:XFD27"/>
    </sheetView>
  </sheetViews>
  <sheetFormatPr defaultColWidth="9.140625" defaultRowHeight="12"/>
  <cols>
    <col min="1" max="1" width="3.28515625" style="686" bestFit="1" customWidth="1"/>
    <col min="2" max="2" width="30.85546875" style="460" bestFit="1" customWidth="1"/>
    <col min="3" max="3" width="8.42578125" style="678" customWidth="1"/>
    <col min="4" max="5" width="16.42578125" style="460" bestFit="1" customWidth="1"/>
    <col min="6" max="13" width="16.5703125" style="460" bestFit="1" customWidth="1"/>
    <col min="14" max="14" width="10.28515625" style="460" bestFit="1" customWidth="1"/>
    <col min="15" max="16384" width="9.140625" style="460"/>
  </cols>
  <sheetData>
    <row r="1" spans="1:14" s="1176" customFormat="1" ht="15" customHeight="1">
      <c r="A1" s="1176" t="s">
        <v>432</v>
      </c>
    </row>
    <row r="2" spans="1:14" s="649" customFormat="1" ht="15" customHeight="1" thickBot="1">
      <c r="A2" s="685"/>
      <c r="C2" s="653"/>
    </row>
    <row r="3" spans="1:14" ht="15" customHeight="1" thickBot="1">
      <c r="B3" s="1177" t="s">
        <v>164</v>
      </c>
      <c r="C3" s="1179" t="s">
        <v>165</v>
      </c>
      <c r="D3" s="1180"/>
      <c r="E3" s="1180"/>
      <c r="F3" s="1180"/>
      <c r="G3" s="1180"/>
      <c r="H3" s="1180"/>
      <c r="I3" s="1180"/>
      <c r="J3" s="1180"/>
      <c r="K3" s="1180"/>
      <c r="L3" s="1180"/>
      <c r="M3" s="1181"/>
    </row>
    <row r="4" spans="1:14" ht="13.5" thickBot="1">
      <c r="B4" s="1178"/>
      <c r="C4" s="654" t="s">
        <v>303</v>
      </c>
      <c r="D4" s="651" t="s">
        <v>112</v>
      </c>
      <c r="E4" s="651" t="s">
        <v>113</v>
      </c>
      <c r="F4" s="651" t="s">
        <v>114</v>
      </c>
      <c r="G4" s="651" t="s">
        <v>115</v>
      </c>
      <c r="H4" s="651" t="s">
        <v>116</v>
      </c>
      <c r="I4" s="651" t="s">
        <v>117</v>
      </c>
      <c r="J4" s="651" t="s">
        <v>118</v>
      </c>
      <c r="K4" s="651" t="s">
        <v>119</v>
      </c>
      <c r="L4" s="651" t="s">
        <v>120</v>
      </c>
      <c r="M4" s="651" t="s">
        <v>121</v>
      </c>
      <c r="N4" s="86" t="s">
        <v>278</v>
      </c>
    </row>
    <row r="5" spans="1:14" ht="12.75" thickBot="1">
      <c r="B5" s="469" t="s">
        <v>166</v>
      </c>
      <c r="C5" s="655"/>
      <c r="D5" s="472"/>
      <c r="E5" s="472"/>
      <c r="F5" s="472"/>
      <c r="G5" s="472"/>
      <c r="H5" s="475"/>
      <c r="I5" s="476"/>
      <c r="J5" s="475"/>
      <c r="K5" s="475"/>
      <c r="L5" s="475"/>
      <c r="M5" s="475"/>
    </row>
    <row r="6" spans="1:14" s="88" customFormat="1" ht="12.75" thickBot="1">
      <c r="A6" s="687"/>
      <c r="B6" s="470" t="e">
        <f>'OPEX - RAS'!#REF!</f>
        <v>#REF!</v>
      </c>
      <c r="C6" s="656"/>
      <c r="D6" s="473">
        <f>SUM('OPEX - RAS'!C6:C9)</f>
        <v>0</v>
      </c>
      <c r="E6" s="473">
        <f>SUM('OPEX - RAS'!P6:P9)</f>
        <v>0</v>
      </c>
      <c r="F6" s="473">
        <f>SUM('OPEX - RAS'!AC6:AC9)</f>
        <v>0</v>
      </c>
      <c r="G6" s="473">
        <f>SUM('OPEX - RAS'!AD6:AD9)</f>
        <v>0</v>
      </c>
      <c r="H6" s="473">
        <f>SUM('OPEX - RAS'!AE6:AE9)</f>
        <v>0</v>
      </c>
      <c r="I6" s="473">
        <f>SUM('OPEX - RAS'!AF6:AF9)</f>
        <v>0</v>
      </c>
      <c r="J6" s="473">
        <f>SUM('OPEX - RAS'!AG6:AG9)</f>
        <v>0</v>
      </c>
      <c r="K6" s="473">
        <f>SUM('OPEX - RAS'!AH6:AH9)</f>
        <v>0</v>
      </c>
      <c r="L6" s="473">
        <f>SUM('OPEX - RAS'!AI6:AI9)</f>
        <v>0</v>
      </c>
      <c r="M6" s="473">
        <f>SUM('OPEX - RAS'!AJ6:AJ9)</f>
        <v>0</v>
      </c>
    </row>
    <row r="7" spans="1:14" s="88" customFormat="1" ht="12.75" thickBot="1">
      <c r="A7" s="687"/>
      <c r="B7" s="471" t="s">
        <v>167</v>
      </c>
      <c r="C7" s="657"/>
      <c r="D7" s="474">
        <f t="shared" ref="D7:M7" si="0">SUM(D6:D6)</f>
        <v>0</v>
      </c>
      <c r="E7" s="474">
        <f t="shared" si="0"/>
        <v>0</v>
      </c>
      <c r="F7" s="474">
        <f t="shared" si="0"/>
        <v>0</v>
      </c>
      <c r="G7" s="474">
        <f t="shared" si="0"/>
        <v>0</v>
      </c>
      <c r="H7" s="474">
        <f t="shared" si="0"/>
        <v>0</v>
      </c>
      <c r="I7" s="474">
        <f t="shared" si="0"/>
        <v>0</v>
      </c>
      <c r="J7" s="474">
        <f t="shared" si="0"/>
        <v>0</v>
      </c>
      <c r="K7" s="474">
        <f t="shared" si="0"/>
        <v>0</v>
      </c>
      <c r="L7" s="474">
        <f t="shared" si="0"/>
        <v>0</v>
      </c>
      <c r="M7" s="474">
        <f t="shared" si="0"/>
        <v>0</v>
      </c>
    </row>
    <row r="8" spans="1:14" ht="12.75" thickBot="1">
      <c r="B8" s="464"/>
      <c r="C8" s="658"/>
      <c r="D8" s="465"/>
      <c r="E8" s="465"/>
      <c r="F8" s="465"/>
      <c r="G8" s="465"/>
      <c r="H8" s="465"/>
      <c r="I8" s="465"/>
      <c r="J8" s="465"/>
      <c r="K8" s="465"/>
      <c r="L8" s="465"/>
      <c r="M8" s="465"/>
    </row>
    <row r="9" spans="1:14" ht="12.75" thickBot="1">
      <c r="B9" s="477" t="s">
        <v>168</v>
      </c>
      <c r="C9" s="659"/>
      <c r="D9" s="478"/>
      <c r="E9" s="478"/>
      <c r="F9" s="478"/>
      <c r="G9" s="479"/>
      <c r="H9" s="479"/>
      <c r="I9" s="479"/>
      <c r="J9" s="479"/>
      <c r="K9" s="479"/>
      <c r="L9" s="479"/>
      <c r="M9" s="480"/>
    </row>
    <row r="10" spans="1:14" s="88" customFormat="1">
      <c r="A10" s="687"/>
      <c r="B10" s="491" t="str">
        <f>'OPEX - RAS'!B13</f>
        <v>Breeding Stock</v>
      </c>
      <c r="C10" s="660"/>
      <c r="D10" s="497">
        <f>-'OPEX - RAS'!C13</f>
        <v>-15800</v>
      </c>
      <c r="E10" s="497">
        <f>-'OPEX - RAS'!P13</f>
        <v>0</v>
      </c>
      <c r="F10" s="497">
        <f>-'OPEX - RAS'!AC13</f>
        <v>-16605.8</v>
      </c>
      <c r="G10" s="497">
        <f>-'OPEX - RAS'!AD13</f>
        <v>0</v>
      </c>
      <c r="H10" s="497">
        <f>-'OPEX - RAS'!AE13</f>
        <v>0</v>
      </c>
      <c r="I10" s="497">
        <f>-'OPEX - RAS'!AF13</f>
        <v>0</v>
      </c>
      <c r="J10" s="497">
        <f>-'OPEX - RAS'!AG13</f>
        <v>0</v>
      </c>
      <c r="K10" s="497">
        <f>-'OPEX - RAS'!AH13</f>
        <v>0</v>
      </c>
      <c r="L10" s="497">
        <f>-'OPEX - RAS'!AI13</f>
        <v>0</v>
      </c>
      <c r="M10" s="497">
        <f>-'OPEX - RAS'!AJ13</f>
        <v>0</v>
      </c>
    </row>
    <row r="11" spans="1:14" s="88" customFormat="1">
      <c r="A11" s="687"/>
      <c r="B11" s="492" t="str">
        <f>'OPEX - RAS'!B14</f>
        <v>Feed</v>
      </c>
      <c r="C11" s="661"/>
      <c r="D11" s="473" t="e">
        <f>-'OPEX - RAS'!C14</f>
        <v>#VALUE!</v>
      </c>
      <c r="E11" s="473" t="e">
        <f>-'OPEX - RAS'!P14</f>
        <v>#VALUE!</v>
      </c>
      <c r="F11" s="473" t="e">
        <f>-'OPEX - RAS'!AC14</f>
        <v>#VALUE!</v>
      </c>
      <c r="G11" s="473" t="e">
        <f>-'OPEX - RAS'!AD14</f>
        <v>#VALUE!</v>
      </c>
      <c r="H11" s="473" t="e">
        <f>-'OPEX - RAS'!AE14</f>
        <v>#VALUE!</v>
      </c>
      <c r="I11" s="473" t="e">
        <f>-'OPEX - RAS'!AF14</f>
        <v>#VALUE!</v>
      </c>
      <c r="J11" s="473" t="e">
        <f>-'OPEX - RAS'!AG14</f>
        <v>#VALUE!</v>
      </c>
      <c r="K11" s="473" t="e">
        <f>-'OPEX - RAS'!AH14</f>
        <v>#VALUE!</v>
      </c>
      <c r="L11" s="473" t="e">
        <f>-'OPEX - RAS'!AI14</f>
        <v>#VALUE!</v>
      </c>
      <c r="M11" s="473" t="e">
        <f>-'OPEX - RAS'!AJ14</f>
        <v>#VALUE!</v>
      </c>
    </row>
    <row r="12" spans="1:14" s="88" customFormat="1">
      <c r="A12" s="687"/>
      <c r="B12" s="492" t="s">
        <v>480</v>
      </c>
      <c r="C12" s="661"/>
      <c r="D12" s="473" t="e">
        <f>-'OPEX - RAS'!C15</f>
        <v>#VALUE!</v>
      </c>
      <c r="E12" s="473" t="e">
        <f>-'OPEX - RAS'!P15</f>
        <v>#VALUE!</v>
      </c>
      <c r="F12" s="473" t="e">
        <f>-'OPEX - RAS'!AC15</f>
        <v>#VALUE!</v>
      </c>
      <c r="G12" s="473" t="e">
        <f>-'OPEX - RAS'!AD15</f>
        <v>#VALUE!</v>
      </c>
      <c r="H12" s="473" t="e">
        <f>-'OPEX - RAS'!AE15</f>
        <v>#VALUE!</v>
      </c>
      <c r="I12" s="473" t="e">
        <f>-'OPEX - RAS'!AF15</f>
        <v>#VALUE!</v>
      </c>
      <c r="J12" s="473" t="e">
        <f>-'OPEX - RAS'!AG15</f>
        <v>#VALUE!</v>
      </c>
      <c r="K12" s="473" t="e">
        <f>-'OPEX - RAS'!AH15</f>
        <v>#VALUE!</v>
      </c>
      <c r="L12" s="473" t="e">
        <f>-'OPEX - RAS'!AI15</f>
        <v>#VALUE!</v>
      </c>
      <c r="M12" s="473" t="e">
        <f>-'OPEX - RAS'!AJ15</f>
        <v>#VALUE!</v>
      </c>
    </row>
    <row r="13" spans="1:14" s="88" customFormat="1">
      <c r="A13" s="687"/>
      <c r="B13" s="492" t="str">
        <f>'OPEX - RAS'!B16</f>
        <v>Packaging</v>
      </c>
      <c r="C13" s="661"/>
      <c r="D13" s="473" t="e">
        <f>-'OPEX - RAS'!C16</f>
        <v>#VALUE!</v>
      </c>
      <c r="E13" s="473" t="e">
        <f>-'OPEX - RAS'!P16</f>
        <v>#VALUE!</v>
      </c>
      <c r="F13" s="473" t="e">
        <f>-'OPEX - RAS'!AC16</f>
        <v>#VALUE!</v>
      </c>
      <c r="G13" s="473" t="e">
        <f>-'OPEX - RAS'!AD16</f>
        <v>#VALUE!</v>
      </c>
      <c r="H13" s="473" t="e">
        <f>-'OPEX - RAS'!AE16</f>
        <v>#VALUE!</v>
      </c>
      <c r="I13" s="473" t="e">
        <f>-'OPEX - RAS'!AF16</f>
        <v>#VALUE!</v>
      </c>
      <c r="J13" s="473" t="e">
        <f>-'OPEX - RAS'!AG16</f>
        <v>#VALUE!</v>
      </c>
      <c r="K13" s="473" t="e">
        <f>-'OPEX - RAS'!AH16</f>
        <v>#VALUE!</v>
      </c>
      <c r="L13" s="473" t="e">
        <f>-'OPEX - RAS'!AI16</f>
        <v>#VALUE!</v>
      </c>
      <c r="M13" s="473" t="e">
        <f>-'OPEX - RAS'!AJ16</f>
        <v>#VALUE!</v>
      </c>
    </row>
    <row r="14" spans="1:14" s="88" customFormat="1">
      <c r="A14" s="687"/>
      <c r="B14" s="492" t="str">
        <f>'OPEX - RAS'!B17</f>
        <v>Chemicals</v>
      </c>
      <c r="C14" s="661"/>
      <c r="D14" s="473" t="e">
        <f>-'OPEX - RAS'!C17</f>
        <v>#VALUE!</v>
      </c>
      <c r="E14" s="473" t="e">
        <f>-'OPEX - RAS'!P17</f>
        <v>#VALUE!</v>
      </c>
      <c r="F14" s="473" t="e">
        <f>-'OPEX - RAS'!AC17</f>
        <v>#VALUE!</v>
      </c>
      <c r="G14" s="473" t="e">
        <f>-'OPEX - RAS'!AD17</f>
        <v>#VALUE!</v>
      </c>
      <c r="H14" s="473" t="e">
        <f>-'OPEX - RAS'!AE17</f>
        <v>#VALUE!</v>
      </c>
      <c r="I14" s="473" t="e">
        <f>-'OPEX - RAS'!AF17</f>
        <v>#VALUE!</v>
      </c>
      <c r="J14" s="473" t="e">
        <f>-'OPEX - RAS'!AG17</f>
        <v>#VALUE!</v>
      </c>
      <c r="K14" s="473" t="e">
        <f>-'OPEX - RAS'!AH17</f>
        <v>#VALUE!</v>
      </c>
      <c r="L14" s="473" t="e">
        <f>-'OPEX - RAS'!AI17</f>
        <v>#VALUE!</v>
      </c>
      <c r="M14" s="473" t="e">
        <f>-'OPEX - RAS'!AJ17</f>
        <v>#VALUE!</v>
      </c>
    </row>
    <row r="15" spans="1:14" s="88" customFormat="1" ht="12.75" thickBot="1">
      <c r="A15" s="687"/>
      <c r="B15" s="492" t="str">
        <f>'OPEX - RAS'!B18</f>
        <v>Consumables</v>
      </c>
      <c r="C15" s="661"/>
      <c r="D15" s="473" t="e">
        <f>-'OPEX - RAS'!C18</f>
        <v>#VALUE!</v>
      </c>
      <c r="E15" s="473" t="e">
        <f>-'OPEX - RAS'!P18</f>
        <v>#VALUE!</v>
      </c>
      <c r="F15" s="473" t="e">
        <f>-'OPEX - RAS'!AC18</f>
        <v>#VALUE!</v>
      </c>
      <c r="G15" s="473" t="e">
        <f>-'OPEX - RAS'!AD18</f>
        <v>#VALUE!</v>
      </c>
      <c r="H15" s="473" t="e">
        <f>-'OPEX - RAS'!AE18</f>
        <v>#VALUE!</v>
      </c>
      <c r="I15" s="473" t="e">
        <f>-'OPEX - RAS'!AF18</f>
        <v>#VALUE!</v>
      </c>
      <c r="J15" s="473" t="e">
        <f>-'OPEX - RAS'!AG18</f>
        <v>#VALUE!</v>
      </c>
      <c r="K15" s="473" t="e">
        <f>-'OPEX - RAS'!AH18</f>
        <v>#VALUE!</v>
      </c>
      <c r="L15" s="473" t="e">
        <f>-'OPEX - RAS'!AI18</f>
        <v>#VALUE!</v>
      </c>
      <c r="M15" s="473" t="e">
        <f>-'OPEX - RAS'!AJ18</f>
        <v>#VALUE!</v>
      </c>
    </row>
    <row r="16" spans="1:14" s="88" customFormat="1" ht="12.75" thickBot="1">
      <c r="A16" s="687"/>
      <c r="B16" s="496" t="s">
        <v>169</v>
      </c>
      <c r="C16" s="662"/>
      <c r="D16" s="474" t="e">
        <f t="shared" ref="D16:M16" si="1">SUM(D10:D13)</f>
        <v>#VALUE!</v>
      </c>
      <c r="E16" s="474" t="e">
        <f t="shared" si="1"/>
        <v>#VALUE!</v>
      </c>
      <c r="F16" s="474" t="e">
        <f t="shared" si="1"/>
        <v>#VALUE!</v>
      </c>
      <c r="G16" s="474" t="e">
        <f t="shared" si="1"/>
        <v>#VALUE!</v>
      </c>
      <c r="H16" s="474" t="e">
        <f t="shared" si="1"/>
        <v>#VALUE!</v>
      </c>
      <c r="I16" s="474" t="e">
        <f t="shared" si="1"/>
        <v>#VALUE!</v>
      </c>
      <c r="J16" s="474" t="e">
        <f t="shared" si="1"/>
        <v>#VALUE!</v>
      </c>
      <c r="K16" s="474" t="e">
        <f t="shared" si="1"/>
        <v>#VALUE!</v>
      </c>
      <c r="L16" s="474" t="e">
        <f t="shared" si="1"/>
        <v>#VALUE!</v>
      </c>
      <c r="M16" s="474" t="e">
        <f t="shared" si="1"/>
        <v>#VALUE!</v>
      </c>
    </row>
    <row r="17" spans="1:14" ht="12.75" thickBot="1">
      <c r="B17" s="493"/>
      <c r="C17" s="663"/>
      <c r="D17" s="465"/>
      <c r="E17" s="465"/>
      <c r="F17" s="465"/>
      <c r="G17" s="465"/>
      <c r="H17" s="465"/>
      <c r="I17" s="465"/>
      <c r="J17" s="465"/>
      <c r="K17" s="465"/>
      <c r="L17" s="465"/>
      <c r="M17" s="495"/>
    </row>
    <row r="18" spans="1:14" s="88" customFormat="1">
      <c r="A18" s="687"/>
      <c r="B18" s="491" t="s">
        <v>170</v>
      </c>
      <c r="C18" s="660"/>
      <c r="D18" s="497" t="e">
        <f t="shared" ref="D18:M18" si="2">D7+D16</f>
        <v>#VALUE!</v>
      </c>
      <c r="E18" s="497" t="e">
        <f t="shared" si="2"/>
        <v>#VALUE!</v>
      </c>
      <c r="F18" s="497" t="e">
        <f t="shared" si="2"/>
        <v>#VALUE!</v>
      </c>
      <c r="G18" s="497" t="e">
        <f t="shared" si="2"/>
        <v>#VALUE!</v>
      </c>
      <c r="H18" s="497" t="e">
        <f t="shared" si="2"/>
        <v>#VALUE!</v>
      </c>
      <c r="I18" s="497" t="e">
        <f t="shared" si="2"/>
        <v>#VALUE!</v>
      </c>
      <c r="J18" s="497" t="e">
        <f t="shared" si="2"/>
        <v>#VALUE!</v>
      </c>
      <c r="K18" s="497" t="e">
        <f t="shared" si="2"/>
        <v>#VALUE!</v>
      </c>
      <c r="L18" s="497" t="e">
        <f t="shared" si="2"/>
        <v>#VALUE!</v>
      </c>
      <c r="M18" s="497" t="e">
        <f t="shared" si="2"/>
        <v>#VALUE!</v>
      </c>
    </row>
    <row r="19" spans="1:14" s="88" customFormat="1" ht="12.75" thickBot="1">
      <c r="A19" s="687"/>
      <c r="B19" s="494" t="s">
        <v>171</v>
      </c>
      <c r="C19" s="664"/>
      <c r="D19" s="652" t="e">
        <f t="shared" ref="D19:M19" si="3">D18/D7</f>
        <v>#VALUE!</v>
      </c>
      <c r="E19" s="652" t="e">
        <f t="shared" si="3"/>
        <v>#VALUE!</v>
      </c>
      <c r="F19" s="652" t="e">
        <f t="shared" si="3"/>
        <v>#VALUE!</v>
      </c>
      <c r="G19" s="652" t="e">
        <f t="shared" si="3"/>
        <v>#VALUE!</v>
      </c>
      <c r="H19" s="652" t="e">
        <f t="shared" si="3"/>
        <v>#VALUE!</v>
      </c>
      <c r="I19" s="652" t="e">
        <f t="shared" si="3"/>
        <v>#VALUE!</v>
      </c>
      <c r="J19" s="652" t="e">
        <f t="shared" si="3"/>
        <v>#VALUE!</v>
      </c>
      <c r="K19" s="652" t="e">
        <f t="shared" si="3"/>
        <v>#VALUE!</v>
      </c>
      <c r="L19" s="652" t="e">
        <f t="shared" si="3"/>
        <v>#VALUE!</v>
      </c>
      <c r="M19" s="652" t="e">
        <f t="shared" si="3"/>
        <v>#VALUE!</v>
      </c>
    </row>
    <row r="20" spans="1:14" s="88" customFormat="1" ht="12.75" thickBot="1">
      <c r="A20" s="687"/>
      <c r="B20" s="462"/>
      <c r="C20" s="656"/>
      <c r="D20" s="463"/>
      <c r="E20" s="466"/>
      <c r="F20" s="466"/>
      <c r="G20" s="466"/>
      <c r="H20" s="466"/>
      <c r="I20" s="466"/>
      <c r="J20" s="466"/>
      <c r="K20" s="466"/>
      <c r="L20" s="466"/>
      <c r="M20" s="466"/>
    </row>
    <row r="21" spans="1:14" s="88" customFormat="1" ht="12.75" thickBot="1">
      <c r="A21" s="687"/>
      <c r="B21" s="481" t="s">
        <v>172</v>
      </c>
      <c r="C21" s="665"/>
      <c r="D21" s="482"/>
      <c r="E21" s="482"/>
      <c r="F21" s="482"/>
      <c r="G21" s="482"/>
      <c r="H21" s="483"/>
      <c r="I21" s="483"/>
      <c r="J21" s="483"/>
      <c r="K21" s="483"/>
      <c r="L21" s="483"/>
      <c r="M21" s="484"/>
    </row>
    <row r="22" spans="1:14" s="88" customFormat="1">
      <c r="A22" s="687"/>
      <c r="B22" s="679" t="s">
        <v>173</v>
      </c>
      <c r="C22" s="680"/>
      <c r="D22" s="681" t="e">
        <f>-SUM(D23:D25)</f>
        <v>#VALUE!</v>
      </c>
      <c r="E22" s="681" t="e">
        <f t="shared" ref="E22:M22" si="4">-SUM(E23:E25)</f>
        <v>#VALUE!</v>
      </c>
      <c r="F22" s="681" t="e">
        <f t="shared" si="4"/>
        <v>#VALUE!</v>
      </c>
      <c r="G22" s="681" t="e">
        <f t="shared" si="4"/>
        <v>#VALUE!</v>
      </c>
      <c r="H22" s="681" t="e">
        <f t="shared" si="4"/>
        <v>#VALUE!</v>
      </c>
      <c r="I22" s="681" t="e">
        <f t="shared" si="4"/>
        <v>#VALUE!</v>
      </c>
      <c r="J22" s="681" t="e">
        <f t="shared" si="4"/>
        <v>#VALUE!</v>
      </c>
      <c r="K22" s="681" t="e">
        <f t="shared" si="4"/>
        <v>#VALUE!</v>
      </c>
      <c r="L22" s="681" t="e">
        <f t="shared" si="4"/>
        <v>#VALUE!</v>
      </c>
      <c r="M22" s="681" t="e">
        <f t="shared" si="4"/>
        <v>#VALUE!</v>
      </c>
    </row>
    <row r="23" spans="1:14" s="88" customFormat="1">
      <c r="A23" s="687"/>
      <c r="B23" s="487" t="str">
        <f>HR!B7</f>
        <v>Skilled Workers</v>
      </c>
      <c r="C23" s="666"/>
      <c r="D23" s="473">
        <f>HR!D7</f>
        <v>0</v>
      </c>
      <c r="E23" s="473">
        <f>HR!AD7</f>
        <v>0</v>
      </c>
      <c r="F23" s="473">
        <f>HR!AF7</f>
        <v>0</v>
      </c>
      <c r="G23" s="473">
        <f>HR!AH7</f>
        <v>0</v>
      </c>
      <c r="H23" s="473">
        <f>HR!AJ7</f>
        <v>0</v>
      </c>
      <c r="I23" s="473">
        <f>HR!AL7</f>
        <v>0</v>
      </c>
      <c r="J23" s="473">
        <f>HR!AN7</f>
        <v>0</v>
      </c>
      <c r="K23" s="473">
        <f>HR!AP7</f>
        <v>0</v>
      </c>
      <c r="L23" s="473">
        <f>HR!AR7</f>
        <v>0</v>
      </c>
      <c r="M23" s="473">
        <f>HR!AT7</f>
        <v>0</v>
      </c>
      <c r="N23" s="87"/>
    </row>
    <row r="24" spans="1:14" s="88" customFormat="1">
      <c r="A24" s="687"/>
      <c r="B24" s="487" t="str">
        <f>HR!B8</f>
        <v>Medium Skilled</v>
      </c>
      <c r="C24" s="666"/>
      <c r="D24" s="473" t="e">
        <f>HR!D8</f>
        <v>#VALUE!</v>
      </c>
      <c r="E24" s="473" t="e">
        <f>HR!AD8</f>
        <v>#VALUE!</v>
      </c>
      <c r="F24" s="473" t="e">
        <f>HR!AF8</f>
        <v>#VALUE!</v>
      </c>
      <c r="G24" s="473" t="e">
        <f>HR!AH8</f>
        <v>#VALUE!</v>
      </c>
      <c r="H24" s="473" t="e">
        <f>HR!AJ8</f>
        <v>#VALUE!</v>
      </c>
      <c r="I24" s="473" t="e">
        <f>HR!AL8</f>
        <v>#VALUE!</v>
      </c>
      <c r="J24" s="473" t="e">
        <f>HR!AN8</f>
        <v>#VALUE!</v>
      </c>
      <c r="K24" s="473" t="e">
        <f>HR!AP8</f>
        <v>#VALUE!</v>
      </c>
      <c r="L24" s="473" t="e">
        <f>HR!AR8</f>
        <v>#VALUE!</v>
      </c>
      <c r="M24" s="473" t="e">
        <f>HR!AT8</f>
        <v>#VALUE!</v>
      </c>
    </row>
    <row r="25" spans="1:14" s="88" customFormat="1">
      <c r="A25" s="687"/>
      <c r="B25" s="487" t="str">
        <f>HR!B9</f>
        <v>Low Skilled</v>
      </c>
      <c r="C25" s="666"/>
      <c r="D25" s="473">
        <f>HR!D9</f>
        <v>60000</v>
      </c>
      <c r="E25" s="473">
        <f>HR!AD9</f>
        <v>63060</v>
      </c>
      <c r="F25" s="473">
        <f>HR!AF9</f>
        <v>66276.06</v>
      </c>
      <c r="G25" s="473">
        <f>HR!AH9</f>
        <v>69656.139060000001</v>
      </c>
      <c r="H25" s="473">
        <f>HR!AJ9</f>
        <v>73208.602152060004</v>
      </c>
      <c r="I25" s="473">
        <f>HR!AL9</f>
        <v>76942.240861815051</v>
      </c>
      <c r="J25" s="473">
        <f>HR!AN9</f>
        <v>80866.295145767624</v>
      </c>
      <c r="K25" s="473">
        <f>HR!AP9</f>
        <v>84990.476198201766</v>
      </c>
      <c r="L25" s="473">
        <f>HR!AR9</f>
        <v>89324.990484310067</v>
      </c>
      <c r="M25" s="473">
        <f>HR!AT9</f>
        <v>93880.564999009875</v>
      </c>
    </row>
    <row r="26" spans="1:14" s="88" customFormat="1">
      <c r="A26" s="687"/>
      <c r="B26" s="682" t="s">
        <v>174</v>
      </c>
      <c r="C26" s="683"/>
      <c r="D26" s="684" t="e">
        <f t="shared" ref="D26:M26" si="5">SUM(D27:D35)</f>
        <v>#VALUE!</v>
      </c>
      <c r="E26" s="684" t="e">
        <f t="shared" si="5"/>
        <v>#VALUE!</v>
      </c>
      <c r="F26" s="684" t="e">
        <f t="shared" si="5"/>
        <v>#VALUE!</v>
      </c>
      <c r="G26" s="684" t="e">
        <f t="shared" si="5"/>
        <v>#VALUE!</v>
      </c>
      <c r="H26" s="684" t="e">
        <f t="shared" si="5"/>
        <v>#VALUE!</v>
      </c>
      <c r="I26" s="684" t="e">
        <f t="shared" si="5"/>
        <v>#VALUE!</v>
      </c>
      <c r="J26" s="684" t="e">
        <f t="shared" si="5"/>
        <v>#VALUE!</v>
      </c>
      <c r="K26" s="684" t="e">
        <f t="shared" si="5"/>
        <v>#VALUE!</v>
      </c>
      <c r="L26" s="684" t="e">
        <f t="shared" si="5"/>
        <v>#VALUE!</v>
      </c>
      <c r="M26" s="684" t="e">
        <f t="shared" si="5"/>
        <v>#VALUE!</v>
      </c>
    </row>
    <row r="27" spans="1:14" s="88" customFormat="1">
      <c r="A27" s="687"/>
      <c r="B27" s="487" t="str">
        <f>'OPEX - RAS'!B23</f>
        <v>Telephone Expenses</v>
      </c>
      <c r="C27" s="666"/>
      <c r="D27" s="473">
        <f>-'OPEX - RAS'!C23</f>
        <v>-9600</v>
      </c>
      <c r="E27" s="473">
        <f>-'OPEX - RAS'!P23</f>
        <v>-10089.599999999999</v>
      </c>
      <c r="F27" s="473">
        <f>-'OPEX - RAS'!AC23</f>
        <v>-10604.169599999997</v>
      </c>
      <c r="G27" s="473">
        <f>-'OPEX - RAS'!AD23</f>
        <v>-11144.9822496</v>
      </c>
      <c r="H27" s="473">
        <f>-'OPEX - RAS'!AE23</f>
        <v>-11713.376344329599</v>
      </c>
      <c r="I27" s="473">
        <f>-'OPEX - RAS'!AF23</f>
        <v>-12310.758537890408</v>
      </c>
      <c r="J27" s="473">
        <f>-'OPEX - RAS'!AG23</f>
        <v>-12938.607223322819</v>
      </c>
      <c r="K27" s="473">
        <f>-'OPEX - RAS'!AH23</f>
        <v>-13598.476191712283</v>
      </c>
      <c r="L27" s="473">
        <f>-'OPEX - RAS'!AI23</f>
        <v>-14291.998477489611</v>
      </c>
      <c r="M27" s="473">
        <f>-'OPEX - RAS'!AJ23</f>
        <v>-15020.890399841581</v>
      </c>
    </row>
    <row r="28" spans="1:14" s="88" customFormat="1">
      <c r="A28" s="687"/>
      <c r="B28" s="487" t="str">
        <f>'OPEX - RAS'!B24</f>
        <v>Electricity</v>
      </c>
      <c r="C28" s="666"/>
      <c r="D28" s="473" t="e">
        <f>-'OPEX - RAS'!C24</f>
        <v>#VALUE!</v>
      </c>
      <c r="E28" s="473" t="e">
        <f>-'OPEX - RAS'!P24</f>
        <v>#VALUE!</v>
      </c>
      <c r="F28" s="473" t="e">
        <f>-'OPEX - RAS'!AC24</f>
        <v>#VALUE!</v>
      </c>
      <c r="G28" s="473" t="e">
        <f>-'OPEX - RAS'!AD24</f>
        <v>#VALUE!</v>
      </c>
      <c r="H28" s="473" t="e">
        <f>-'OPEX - RAS'!AE24</f>
        <v>#VALUE!</v>
      </c>
      <c r="I28" s="473" t="e">
        <f>-'OPEX - RAS'!AF24</f>
        <v>#VALUE!</v>
      </c>
      <c r="J28" s="473" t="e">
        <f>-'OPEX - RAS'!AG24</f>
        <v>#VALUE!</v>
      </c>
      <c r="K28" s="473" t="e">
        <f>-'OPEX - RAS'!AH24</f>
        <v>#VALUE!</v>
      </c>
      <c r="L28" s="473" t="e">
        <f>-'OPEX - RAS'!AI24</f>
        <v>#VALUE!</v>
      </c>
      <c r="M28" s="473" t="e">
        <f>-'OPEX - RAS'!AJ24</f>
        <v>#VALUE!</v>
      </c>
    </row>
    <row r="29" spans="1:14" s="88" customFormat="1">
      <c r="A29" s="687"/>
      <c r="B29" s="487" t="str">
        <f>'OPEX - RAS'!B25</f>
        <v>Health and safety apparel</v>
      </c>
      <c r="C29" s="666"/>
      <c r="D29" s="473" t="e">
        <f>-'OPEX - RAS'!C25</f>
        <v>#VALUE!</v>
      </c>
      <c r="E29" s="473" t="e">
        <f>-'OPEX - RAS'!P25</f>
        <v>#VALUE!</v>
      </c>
      <c r="F29" s="473" t="e">
        <f>-'OPEX - RAS'!AC25</f>
        <v>#VALUE!</v>
      </c>
      <c r="G29" s="473" t="e">
        <f>-'OPEX - RAS'!AD25</f>
        <v>#VALUE!</v>
      </c>
      <c r="H29" s="473" t="e">
        <f>-'OPEX - RAS'!AE25</f>
        <v>#VALUE!</v>
      </c>
      <c r="I29" s="473" t="e">
        <f>-'OPEX - RAS'!AF25</f>
        <v>#VALUE!</v>
      </c>
      <c r="J29" s="473" t="e">
        <f>-'OPEX - RAS'!AG25</f>
        <v>#VALUE!</v>
      </c>
      <c r="K29" s="473" t="e">
        <f>-'OPEX - RAS'!AH25</f>
        <v>#VALUE!</v>
      </c>
      <c r="L29" s="473" t="e">
        <f>-'OPEX - RAS'!AI25</f>
        <v>#VALUE!</v>
      </c>
      <c r="M29" s="473" t="e">
        <f>-'OPEX - RAS'!AJ25</f>
        <v>#VALUE!</v>
      </c>
    </row>
    <row r="30" spans="1:14" s="88" customFormat="1">
      <c r="A30" s="687"/>
      <c r="B30" s="487" t="str">
        <f>'OPEX - RAS'!B26</f>
        <v>stationary</v>
      </c>
      <c r="C30" s="666"/>
      <c r="D30" s="473">
        <f>-'OPEX - RAS'!C26</f>
        <v>-1200</v>
      </c>
      <c r="E30" s="473">
        <f>-'OPEX - RAS'!P26</f>
        <v>-1261.1999999999998</v>
      </c>
      <c r="F30" s="473">
        <f>-'OPEX - RAS'!AC26</f>
        <v>-1325.5211999999997</v>
      </c>
      <c r="G30" s="473">
        <f>-'OPEX - RAS'!AD26</f>
        <v>-1393.1227812</v>
      </c>
      <c r="H30" s="473">
        <f>-'OPEX - RAS'!AE26</f>
        <v>-1464.1720430411999</v>
      </c>
      <c r="I30" s="473">
        <f>-'OPEX - RAS'!AF26</f>
        <v>-1538.844817236301</v>
      </c>
      <c r="J30" s="473">
        <f>-'OPEX - RAS'!AG26</f>
        <v>-1617.3259029153523</v>
      </c>
      <c r="K30" s="473">
        <f>-'OPEX - RAS'!AH26</f>
        <v>-1699.8095239640354</v>
      </c>
      <c r="L30" s="473">
        <f>-'OPEX - RAS'!AI26</f>
        <v>-1786.4998096862014</v>
      </c>
      <c r="M30" s="473">
        <f>-'OPEX - RAS'!AJ26</f>
        <v>-1877.6112999801976</v>
      </c>
    </row>
    <row r="31" spans="1:14" s="88" customFormat="1">
      <c r="A31" s="687"/>
      <c r="B31" s="487" t="str">
        <f>'OPEX - RAS'!B27</f>
        <v>Cleaning materials</v>
      </c>
      <c r="C31" s="666"/>
      <c r="D31" s="473">
        <f>-'OPEX - RAS'!C27</f>
        <v>-6000</v>
      </c>
      <c r="E31" s="473">
        <f>-'OPEX - RAS'!P27</f>
        <v>-6306</v>
      </c>
      <c r="F31" s="473">
        <f>-'OPEX - RAS'!AC27</f>
        <v>-6627.6059999999998</v>
      </c>
      <c r="G31" s="473">
        <f>-'OPEX - RAS'!AD27</f>
        <v>-6965.6139060000005</v>
      </c>
      <c r="H31" s="473">
        <f>-'OPEX - RAS'!AE27</f>
        <v>-7320.8602152060002</v>
      </c>
      <c r="I31" s="473">
        <f>-'OPEX - RAS'!AF27</f>
        <v>-7694.2240861815062</v>
      </c>
      <c r="J31" s="473">
        <f>-'OPEX - RAS'!AG27</f>
        <v>-8086.6295145767617</v>
      </c>
      <c r="K31" s="473">
        <f>-'OPEX - RAS'!AH27</f>
        <v>-8499.0476198201759</v>
      </c>
      <c r="L31" s="473">
        <f>-'OPEX - RAS'!AI27</f>
        <v>-8932.4990484310056</v>
      </c>
      <c r="M31" s="473">
        <f>-'OPEX - RAS'!AJ27</f>
        <v>-9388.0564999009875</v>
      </c>
    </row>
    <row r="32" spans="1:14" s="88" customFormat="1">
      <c r="A32" s="687"/>
      <c r="B32" s="487" t="str">
        <f>'OPEX - RAS'!B28</f>
        <v>Vet Services</v>
      </c>
      <c r="C32" s="666"/>
      <c r="D32" s="473">
        <f>-'OPEX - RAS'!C28</f>
        <v>-7800</v>
      </c>
      <c r="E32" s="473">
        <f>-'OPEX - RAS'!P28</f>
        <v>-8197.7999999999993</v>
      </c>
      <c r="F32" s="473">
        <f>-'OPEX - RAS'!AC28</f>
        <v>-8615.8877999999986</v>
      </c>
      <c r="G32" s="473">
        <f>-'OPEX - RAS'!AD28</f>
        <v>-9055.2980777999983</v>
      </c>
      <c r="H32" s="473">
        <f>-'OPEX - RAS'!AE28</f>
        <v>-9517.1182797677993</v>
      </c>
      <c r="I32" s="473">
        <f>-'OPEX - RAS'!AF28</f>
        <v>-10002.491312035956</v>
      </c>
      <c r="J32" s="473">
        <f>-'OPEX - RAS'!AG28</f>
        <v>-10512.61836894979</v>
      </c>
      <c r="K32" s="473">
        <f>-'OPEX - RAS'!AH28</f>
        <v>-11048.761905766229</v>
      </c>
      <c r="L32" s="473">
        <f>-'OPEX - RAS'!AI28</f>
        <v>-11612.248762960307</v>
      </c>
      <c r="M32" s="473">
        <f>-'OPEX - RAS'!AJ28</f>
        <v>-12204.473449871282</v>
      </c>
    </row>
    <row r="33" spans="1:14" s="88" customFormat="1">
      <c r="A33" s="687"/>
      <c r="B33" s="487" t="str">
        <f>'OPEX - RAS'!B29</f>
        <v>Bank Charges</v>
      </c>
      <c r="C33" s="666"/>
      <c r="D33" s="473">
        <f>-'OPEX - RAS'!C29</f>
        <v>-720</v>
      </c>
      <c r="E33" s="473">
        <f>-'OPEX - RAS'!P29</f>
        <v>-756.7199999999998</v>
      </c>
      <c r="F33" s="473">
        <f>-'OPEX - RAS'!AC29</f>
        <v>-795.3127199999999</v>
      </c>
      <c r="G33" s="473">
        <f>-'OPEX - RAS'!AD29</f>
        <v>-835.87366871999984</v>
      </c>
      <c r="H33" s="473">
        <f>-'OPEX - RAS'!AE29</f>
        <v>-878.50322582471995</v>
      </c>
      <c r="I33" s="473">
        <f>-'OPEX - RAS'!AF29</f>
        <v>-923.30689034178067</v>
      </c>
      <c r="J33" s="473">
        <f>-'OPEX - RAS'!AG29</f>
        <v>-970.39554174921136</v>
      </c>
      <c r="K33" s="473">
        <f>-'OPEX - RAS'!AH29</f>
        <v>-1019.8857143784212</v>
      </c>
      <c r="L33" s="473">
        <f>-'OPEX - RAS'!AI29</f>
        <v>-1071.8998858117207</v>
      </c>
      <c r="M33" s="473">
        <f>-'OPEX - RAS'!AJ29</f>
        <v>-1126.5667799881185</v>
      </c>
    </row>
    <row r="34" spans="1:14" s="88" customFormat="1">
      <c r="A34" s="687"/>
      <c r="B34" s="487" t="str">
        <f>'OPEX - RAS'!B30</f>
        <v>Marketing</v>
      </c>
      <c r="C34" s="666"/>
      <c r="D34" s="473" t="e">
        <f>-'OPEX - RAS'!C30</f>
        <v>#VALUE!</v>
      </c>
      <c r="E34" s="473" t="e">
        <f>-'OPEX - RAS'!P30</f>
        <v>#VALUE!</v>
      </c>
      <c r="F34" s="473" t="e">
        <f>-'OPEX - RAS'!AC30</f>
        <v>#VALUE!</v>
      </c>
      <c r="G34" s="473" t="e">
        <f>-'OPEX - RAS'!AD30</f>
        <v>#VALUE!</v>
      </c>
      <c r="H34" s="473" t="e">
        <f>-'OPEX - RAS'!AE30</f>
        <v>#VALUE!</v>
      </c>
      <c r="I34" s="473" t="e">
        <f>-'OPEX - RAS'!AF30</f>
        <v>#VALUE!</v>
      </c>
      <c r="J34" s="473" t="e">
        <f>-'OPEX - RAS'!AG30</f>
        <v>#VALUE!</v>
      </c>
      <c r="K34" s="473" t="e">
        <f>-'OPEX - RAS'!AH30</f>
        <v>#VALUE!</v>
      </c>
      <c r="L34" s="473" t="e">
        <f>-'OPEX - RAS'!AI30</f>
        <v>#VALUE!</v>
      </c>
      <c r="M34" s="473" t="e">
        <f>-'OPEX - RAS'!AJ30</f>
        <v>#VALUE!</v>
      </c>
    </row>
    <row r="35" spans="1:14" s="88" customFormat="1" ht="12.75" thickBot="1">
      <c r="A35" s="687"/>
      <c r="B35" s="487" t="str">
        <f>'OPEX - RAS'!B31</f>
        <v>Reserve &amp; Unforeseen Cost</v>
      </c>
      <c r="C35" s="666"/>
      <c r="D35" s="473" t="e">
        <f>-'OPEX - RAS'!C31</f>
        <v>#VALUE!</v>
      </c>
      <c r="E35" s="473" t="e">
        <f>-'OPEX - RAS'!P31</f>
        <v>#VALUE!</v>
      </c>
      <c r="F35" s="473" t="e">
        <f>-'OPEX - RAS'!AC31</f>
        <v>#VALUE!</v>
      </c>
      <c r="G35" s="473" t="e">
        <f>-'OPEX - RAS'!AD31</f>
        <v>#VALUE!</v>
      </c>
      <c r="H35" s="473" t="e">
        <f>-'OPEX - RAS'!AE31</f>
        <v>#VALUE!</v>
      </c>
      <c r="I35" s="473" t="e">
        <f>-'OPEX - RAS'!AF31</f>
        <v>#VALUE!</v>
      </c>
      <c r="J35" s="473" t="e">
        <f>-'OPEX - RAS'!AG31</f>
        <v>#VALUE!</v>
      </c>
      <c r="K35" s="473" t="e">
        <f>-'OPEX - RAS'!AH31</f>
        <v>#VALUE!</v>
      </c>
      <c r="L35" s="473" t="e">
        <f>-'OPEX - RAS'!AI31</f>
        <v>#VALUE!</v>
      </c>
      <c r="M35" s="473" t="e">
        <f>-'OPEX - RAS'!AJ31</f>
        <v>#VALUE!</v>
      </c>
    </row>
    <row r="36" spans="1:14" s="88" customFormat="1" ht="12.75" thickBot="1">
      <c r="A36" s="687"/>
      <c r="B36" s="485" t="s">
        <v>175</v>
      </c>
      <c r="C36" s="667"/>
      <c r="D36" s="474" t="e">
        <f t="shared" ref="D36:M36" si="6">D26+D22</f>
        <v>#VALUE!</v>
      </c>
      <c r="E36" s="474" t="e">
        <f t="shared" si="6"/>
        <v>#VALUE!</v>
      </c>
      <c r="F36" s="474" t="e">
        <f t="shared" si="6"/>
        <v>#VALUE!</v>
      </c>
      <c r="G36" s="474" t="e">
        <f t="shared" si="6"/>
        <v>#VALUE!</v>
      </c>
      <c r="H36" s="474" t="e">
        <f t="shared" si="6"/>
        <v>#VALUE!</v>
      </c>
      <c r="I36" s="474" t="e">
        <f t="shared" si="6"/>
        <v>#VALUE!</v>
      </c>
      <c r="J36" s="474" t="e">
        <f t="shared" si="6"/>
        <v>#VALUE!</v>
      </c>
      <c r="K36" s="474" t="e">
        <f t="shared" si="6"/>
        <v>#VALUE!</v>
      </c>
      <c r="L36" s="474" t="e">
        <f t="shared" si="6"/>
        <v>#VALUE!</v>
      </c>
      <c r="M36" s="474" t="e">
        <f t="shared" si="6"/>
        <v>#VALUE!</v>
      </c>
    </row>
    <row r="37" spans="1:14" s="88" customFormat="1" ht="12.75" thickBot="1">
      <c r="A37" s="687"/>
      <c r="B37" s="486" t="s">
        <v>280</v>
      </c>
      <c r="C37" s="668"/>
      <c r="D37" s="498" t="e">
        <f t="shared" ref="D37:M37" si="7">-(D16+D36)</f>
        <v>#VALUE!</v>
      </c>
      <c r="E37" s="498" t="e">
        <f t="shared" si="7"/>
        <v>#VALUE!</v>
      </c>
      <c r="F37" s="498" t="e">
        <f t="shared" si="7"/>
        <v>#VALUE!</v>
      </c>
      <c r="G37" s="498" t="e">
        <f t="shared" si="7"/>
        <v>#VALUE!</v>
      </c>
      <c r="H37" s="498" t="e">
        <f t="shared" si="7"/>
        <v>#VALUE!</v>
      </c>
      <c r="I37" s="498" t="e">
        <f t="shared" si="7"/>
        <v>#VALUE!</v>
      </c>
      <c r="J37" s="498" t="e">
        <f t="shared" si="7"/>
        <v>#VALUE!</v>
      </c>
      <c r="K37" s="498" t="e">
        <f t="shared" si="7"/>
        <v>#VALUE!</v>
      </c>
      <c r="L37" s="498" t="e">
        <f t="shared" si="7"/>
        <v>#VALUE!</v>
      </c>
      <c r="M37" s="498" t="e">
        <f t="shared" si="7"/>
        <v>#VALUE!</v>
      </c>
    </row>
    <row r="38" spans="1:14" s="88" customFormat="1" ht="12.75" thickBot="1">
      <c r="A38" s="687"/>
      <c r="B38" s="201" t="s">
        <v>176</v>
      </c>
      <c r="C38" s="669"/>
      <c r="D38" s="499" t="e">
        <f>-'DEP - RAS'!F29</f>
        <v>#VALUE!</v>
      </c>
      <c r="E38" s="499" t="e">
        <f>-'DEP - RAS'!G29</f>
        <v>#VALUE!</v>
      </c>
      <c r="F38" s="499" t="e">
        <f>-'DEP - RAS'!H29</f>
        <v>#VALUE!</v>
      </c>
      <c r="G38" s="499" t="e">
        <f>-'DEP - RAS'!I29</f>
        <v>#VALUE!</v>
      </c>
      <c r="H38" s="499" t="e">
        <f>-'DEP - RAS'!J29</f>
        <v>#VALUE!</v>
      </c>
      <c r="I38" s="499" t="e">
        <f>-'DEP - RAS'!K29</f>
        <v>#VALUE!</v>
      </c>
      <c r="J38" s="499" t="e">
        <f>-'DEP - RAS'!L29</f>
        <v>#VALUE!</v>
      </c>
      <c r="K38" s="499" t="e">
        <f>-'DEP - RAS'!M29</f>
        <v>#VALUE!</v>
      </c>
      <c r="L38" s="499" t="e">
        <f>-'DEP - RAS'!N29</f>
        <v>#VALUE!</v>
      </c>
      <c r="M38" s="499" t="e">
        <f>-'DEP - RAS'!O29</f>
        <v>#VALUE!</v>
      </c>
    </row>
    <row r="39" spans="1:14" s="88" customFormat="1" ht="12.75" thickBot="1">
      <c r="A39" s="687"/>
      <c r="B39" s="467"/>
      <c r="C39" s="670"/>
      <c r="D39" s="466"/>
      <c r="E39" s="466"/>
      <c r="F39" s="466"/>
      <c r="G39" s="466"/>
      <c r="H39" s="466"/>
      <c r="I39" s="466"/>
      <c r="J39" s="466"/>
      <c r="K39" s="466"/>
      <c r="L39" s="466"/>
      <c r="M39" s="466"/>
    </row>
    <row r="40" spans="1:14" s="88" customFormat="1" ht="12.75" thickBot="1">
      <c r="A40" s="687"/>
      <c r="B40" s="509" t="s">
        <v>177</v>
      </c>
      <c r="C40" s="671"/>
      <c r="D40" s="472" t="e">
        <f t="shared" ref="D40:M40" si="8">D16+D36+D38+D7</f>
        <v>#VALUE!</v>
      </c>
      <c r="E40" s="472" t="e">
        <f t="shared" si="8"/>
        <v>#VALUE!</v>
      </c>
      <c r="F40" s="472" t="e">
        <f t="shared" si="8"/>
        <v>#VALUE!</v>
      </c>
      <c r="G40" s="472" t="e">
        <f t="shared" si="8"/>
        <v>#VALUE!</v>
      </c>
      <c r="H40" s="472" t="e">
        <f t="shared" si="8"/>
        <v>#VALUE!</v>
      </c>
      <c r="I40" s="472" t="e">
        <f t="shared" si="8"/>
        <v>#VALUE!</v>
      </c>
      <c r="J40" s="472" t="e">
        <f t="shared" si="8"/>
        <v>#VALUE!</v>
      </c>
      <c r="K40" s="472" t="e">
        <f t="shared" si="8"/>
        <v>#VALUE!</v>
      </c>
      <c r="L40" s="472" t="e">
        <f t="shared" si="8"/>
        <v>#VALUE!</v>
      </c>
      <c r="M40" s="472" t="e">
        <f t="shared" si="8"/>
        <v>#VALUE!</v>
      </c>
    </row>
    <row r="41" spans="1:14" s="88" customFormat="1" ht="12.75" thickBot="1">
      <c r="A41" s="687"/>
      <c r="B41" s="488"/>
      <c r="C41" s="672"/>
      <c r="D41" s="508"/>
      <c r="E41" s="466"/>
      <c r="F41" s="466"/>
      <c r="G41" s="466"/>
      <c r="H41" s="466"/>
      <c r="I41" s="466"/>
      <c r="J41" s="466"/>
      <c r="K41" s="466"/>
      <c r="L41" s="466"/>
      <c r="M41" s="466"/>
    </row>
    <row r="42" spans="1:14" s="88" customFormat="1">
      <c r="A42" s="687"/>
      <c r="B42" s="489" t="s">
        <v>258</v>
      </c>
      <c r="C42" s="660"/>
      <c r="D42" s="500">
        <f>IF(Interface!$H$16="DEBT",-'Loan Int &amp; Bal - RAS'!B4,IF(Interface!$H$16="DEBT/EQUITY",-'Loan Int &amp; Bal - RAS'!B4,0))</f>
        <v>0</v>
      </c>
      <c r="E42" s="500">
        <f>IF(Interface!$H$16="DEBT",-'Loan Int &amp; Bal - RAS'!C4,IF(Interface!$H$16="DEBT/EQUITY",-'Loan Int &amp; Bal - RAS'!C4,0))</f>
        <v>0</v>
      </c>
      <c r="F42" s="500">
        <f>IF(Interface!$H$16="DEBT",-'Loan Int &amp; Bal - RAS'!D4,IF(Interface!$H$16="DEBT/EQUITY",-'Loan Int &amp; Bal - RAS'!D4,0))</f>
        <v>0</v>
      </c>
      <c r="G42" s="500">
        <f>IF(Interface!$H$16="DEBT",-'Loan Int &amp; Bal - RAS'!E4,IF(Interface!$H$16="DEBT/EQUITY",-'Loan Int &amp; Bal - RAS'!E4,0))</f>
        <v>0</v>
      </c>
      <c r="H42" s="500">
        <f>IF(Interface!$H$16="DEBT",-'Loan Int &amp; Bal - RAS'!F4,IF(Interface!$H$16="DEBT/EQUITY",-'Loan Int &amp; Bal - RAS'!F4,0))</f>
        <v>0</v>
      </c>
      <c r="I42" s="500">
        <f>IF(Interface!$H$16="DEBT",-'Loan Int &amp; Bal - RAS'!G4,IF(Interface!$H$16="DEBT/EQUITY",-'Loan Int &amp; Bal - RAS'!G4,0))</f>
        <v>0</v>
      </c>
      <c r="J42" s="500">
        <f>IF(Interface!$H$16="DEBT",-'Loan Int &amp; Bal - RAS'!H4,IF(Interface!$H$16="DEBT/EQUITY",-'Loan Int &amp; Bal - RAS'!H4,0))</f>
        <v>0</v>
      </c>
      <c r="K42" s="500">
        <f>IF(Interface!$H$16="DEBT",-'Loan Int &amp; Bal - RAS'!I4,IF(Interface!$H$16="DEBT/EQUITY",-'Loan Int &amp; Bal - RAS'!I4,0))</f>
        <v>0</v>
      </c>
      <c r="L42" s="500">
        <f>IF(Interface!$H$16="DEBT",-'Loan Int &amp; Bal - RAS'!J4,IF(Interface!$H$16="DEBT/EQUITY",-'Loan Int &amp; Bal - RAS'!J4,0))</f>
        <v>0</v>
      </c>
      <c r="M42" s="500">
        <f>IF(Interface!$H$16="DEBT",-'Loan Int &amp; Bal - RAS'!K4,IF(Interface!$H$16="DEBT/EQUITY",-'Loan Int &amp; Bal - RAS'!K4,0))</f>
        <v>0</v>
      </c>
    </row>
    <row r="43" spans="1:14" s="88" customFormat="1" ht="12.75" thickBot="1">
      <c r="A43" s="687"/>
      <c r="B43" s="501" t="s">
        <v>178</v>
      </c>
      <c r="C43" s="673"/>
      <c r="D43" s="502" t="e">
        <f>-IF((D40)*28%&gt;0, (D40)*28%, 0)</f>
        <v>#VALUE!</v>
      </c>
      <c r="E43" s="502" t="e">
        <f>-IF((E40)*28%&gt;0, (E40)*28%, 0)</f>
        <v>#VALUE!</v>
      </c>
      <c r="F43" s="502" t="e">
        <f t="shared" ref="F43:M43" si="9">-IF((F40)*28%&gt;0, (F40)*28%, 0)</f>
        <v>#VALUE!</v>
      </c>
      <c r="G43" s="502" t="e">
        <f>-IF((G40)*28%&gt;0, (G40)*28%, 0)</f>
        <v>#VALUE!</v>
      </c>
      <c r="H43" s="502" t="e">
        <f t="shared" si="9"/>
        <v>#VALUE!</v>
      </c>
      <c r="I43" s="502" t="e">
        <f t="shared" si="9"/>
        <v>#VALUE!</v>
      </c>
      <c r="J43" s="502" t="e">
        <f t="shared" si="9"/>
        <v>#VALUE!</v>
      </c>
      <c r="K43" s="502" t="e">
        <f t="shared" si="9"/>
        <v>#VALUE!</v>
      </c>
      <c r="L43" s="502" t="e">
        <f t="shared" si="9"/>
        <v>#VALUE!</v>
      </c>
      <c r="M43" s="502" t="e">
        <f t="shared" si="9"/>
        <v>#VALUE!</v>
      </c>
    </row>
    <row r="44" spans="1:14" s="88" customFormat="1" ht="12.75" thickBot="1">
      <c r="A44" s="687"/>
      <c r="B44" s="507"/>
      <c r="C44" s="674"/>
      <c r="D44" s="466"/>
      <c r="E44" s="463"/>
      <c r="F44" s="463"/>
      <c r="G44" s="463"/>
      <c r="H44" s="463"/>
      <c r="I44" s="463"/>
      <c r="J44" s="463"/>
      <c r="K44" s="463"/>
      <c r="L44" s="463"/>
      <c r="M44" s="463"/>
    </row>
    <row r="45" spans="1:14" s="88" customFormat="1">
      <c r="A45" s="687"/>
      <c r="B45" s="503" t="s">
        <v>179</v>
      </c>
      <c r="C45" s="675">
        <v>-1</v>
      </c>
      <c r="D45" s="504" t="e">
        <f>D40+D43+D42</f>
        <v>#VALUE!</v>
      </c>
      <c r="E45" s="504" t="e">
        <f t="shared" ref="E45:M45" si="10">E40+E43+E42</f>
        <v>#VALUE!</v>
      </c>
      <c r="F45" s="504" t="e">
        <f t="shared" si="10"/>
        <v>#VALUE!</v>
      </c>
      <c r="G45" s="504" t="e">
        <f t="shared" si="10"/>
        <v>#VALUE!</v>
      </c>
      <c r="H45" s="504" t="e">
        <f t="shared" si="10"/>
        <v>#VALUE!</v>
      </c>
      <c r="I45" s="504" t="e">
        <f t="shared" si="10"/>
        <v>#VALUE!</v>
      </c>
      <c r="J45" s="504" t="e">
        <f t="shared" si="10"/>
        <v>#VALUE!</v>
      </c>
      <c r="K45" s="504" t="e">
        <f t="shared" si="10"/>
        <v>#VALUE!</v>
      </c>
      <c r="L45" s="504" t="e">
        <f t="shared" si="10"/>
        <v>#VALUE!</v>
      </c>
      <c r="M45" s="504" t="e">
        <f t="shared" si="10"/>
        <v>#VALUE!</v>
      </c>
      <c r="N45" s="88">
        <v>1</v>
      </c>
    </row>
    <row r="46" spans="1:14" s="88" customFormat="1" ht="12.75" thickBot="1">
      <c r="A46" s="687"/>
      <c r="B46" s="490" t="s">
        <v>180</v>
      </c>
      <c r="C46" s="664"/>
      <c r="D46" s="652" t="e">
        <f t="shared" ref="D46:M46" si="11">D45/D7</f>
        <v>#VALUE!</v>
      </c>
      <c r="E46" s="652" t="e">
        <f t="shared" si="11"/>
        <v>#VALUE!</v>
      </c>
      <c r="F46" s="652" t="e">
        <f t="shared" si="11"/>
        <v>#VALUE!</v>
      </c>
      <c r="G46" s="652" t="e">
        <f t="shared" si="11"/>
        <v>#VALUE!</v>
      </c>
      <c r="H46" s="652" t="e">
        <f t="shared" si="11"/>
        <v>#VALUE!</v>
      </c>
      <c r="I46" s="652" t="e">
        <f t="shared" si="11"/>
        <v>#VALUE!</v>
      </c>
      <c r="J46" s="652" t="e">
        <f t="shared" si="11"/>
        <v>#VALUE!</v>
      </c>
      <c r="K46" s="652" t="e">
        <f t="shared" si="11"/>
        <v>#VALUE!</v>
      </c>
      <c r="L46" s="652" t="e">
        <f t="shared" si="11"/>
        <v>#VALUE!</v>
      </c>
      <c r="M46" s="652" t="e">
        <f t="shared" si="11"/>
        <v>#VALUE!</v>
      </c>
    </row>
    <row r="47" spans="1:14" s="88" customFormat="1" ht="12.75" thickBot="1">
      <c r="A47" s="687"/>
      <c r="B47" s="510"/>
      <c r="C47" s="676"/>
      <c r="D47" s="461"/>
      <c r="E47" s="461"/>
      <c r="F47" s="461"/>
      <c r="G47" s="461"/>
      <c r="H47" s="461"/>
      <c r="I47" s="461"/>
      <c r="J47" s="461"/>
      <c r="K47" s="461"/>
      <c r="L47" s="461"/>
      <c r="M47" s="461"/>
    </row>
    <row r="48" spans="1:14" s="468" customFormat="1" ht="13.5" thickBot="1">
      <c r="A48" s="688"/>
      <c r="B48" s="505" t="s">
        <v>325</v>
      </c>
      <c r="C48" s="677">
        <v>-1</v>
      </c>
      <c r="D48" s="506" t="e">
        <f t="shared" ref="D48:M48" si="12">D7-D37</f>
        <v>#VALUE!</v>
      </c>
      <c r="E48" s="506" t="e">
        <f t="shared" si="12"/>
        <v>#VALUE!</v>
      </c>
      <c r="F48" s="506" t="e">
        <f t="shared" si="12"/>
        <v>#VALUE!</v>
      </c>
      <c r="G48" s="506" t="e">
        <f t="shared" si="12"/>
        <v>#VALUE!</v>
      </c>
      <c r="H48" s="506" t="e">
        <f t="shared" si="12"/>
        <v>#VALUE!</v>
      </c>
      <c r="I48" s="506" t="e">
        <f t="shared" si="12"/>
        <v>#VALUE!</v>
      </c>
      <c r="J48" s="506" t="e">
        <f t="shared" si="12"/>
        <v>#VALUE!</v>
      </c>
      <c r="K48" s="506" t="e">
        <f t="shared" si="12"/>
        <v>#VALUE!</v>
      </c>
      <c r="L48" s="506" t="e">
        <f t="shared" si="12"/>
        <v>#VALUE!</v>
      </c>
      <c r="M48" s="506" t="e">
        <f t="shared" si="12"/>
        <v>#VALUE!</v>
      </c>
      <c r="N48" s="468">
        <v>0</v>
      </c>
    </row>
    <row r="49" spans="1:3" s="88" customFormat="1">
      <c r="A49" s="687"/>
      <c r="C49" s="199"/>
    </row>
    <row r="50" spans="1:3" s="88" customFormat="1">
      <c r="A50" s="687"/>
      <c r="C50" s="199"/>
    </row>
    <row r="51" spans="1:3" s="88" customFormat="1">
      <c r="A51" s="687"/>
      <c r="C51" s="199"/>
    </row>
    <row r="52" spans="1:3" s="88" customFormat="1">
      <c r="A52" s="687"/>
      <c r="C52" s="199"/>
    </row>
    <row r="53" spans="1:3" s="88" customFormat="1">
      <c r="A53" s="687"/>
      <c r="C53" s="199"/>
    </row>
  </sheetData>
  <mergeCells count="3">
    <mergeCell ref="A1:XFD1"/>
    <mergeCell ref="B3:B4"/>
    <mergeCell ref="C3:M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C5B45-004A-46E6-85A7-17628711B6EA}">
  <sheetPr codeName="Sheet25">
    <tabColor rgb="FF92D050"/>
  </sheetPr>
  <dimension ref="A1:N37"/>
  <sheetViews>
    <sheetView workbookViewId="0">
      <selection activeCell="B20" sqref="B20"/>
    </sheetView>
  </sheetViews>
  <sheetFormatPr defaultColWidth="9.140625" defaultRowHeight="12.75"/>
  <cols>
    <col min="1" max="1" width="9.140625" style="515"/>
    <col min="2" max="2" width="37.28515625" style="468" customWidth="1"/>
    <col min="3" max="3" width="8.140625" style="468" bestFit="1" customWidth="1"/>
    <col min="4" max="4" width="11.28515625" style="515" customWidth="1"/>
    <col min="5" max="6" width="11.28515625" style="515" bestFit="1" customWidth="1"/>
    <col min="7" max="13" width="12.28515625" style="515" bestFit="1" customWidth="1"/>
    <col min="14" max="14" width="13.140625" style="515" bestFit="1" customWidth="1"/>
    <col min="15" max="16384" width="9.140625" style="515"/>
  </cols>
  <sheetData>
    <row r="1" spans="1:14" s="1176" customFormat="1" ht="15">
      <c r="A1" s="1176" t="s">
        <v>434</v>
      </c>
    </row>
    <row r="2" spans="1:14" ht="13.5" thickBot="1"/>
    <row r="3" spans="1:14" ht="13.5" thickBot="1">
      <c r="B3" s="1186" t="s">
        <v>192</v>
      </c>
      <c r="C3" s="1187"/>
      <c r="D3" s="1185" t="s">
        <v>165</v>
      </c>
      <c r="E3" s="1185"/>
      <c r="F3" s="1185"/>
      <c r="G3" s="1185"/>
      <c r="H3" s="1185"/>
      <c r="I3" s="1185"/>
      <c r="J3" s="1185"/>
      <c r="K3" s="1185"/>
      <c r="L3" s="1185"/>
      <c r="M3" s="1185"/>
    </row>
    <row r="4" spans="1:14" ht="13.5" thickBot="1">
      <c r="B4" s="1188"/>
      <c r="C4" s="1189"/>
      <c r="D4" s="711" t="s">
        <v>12</v>
      </c>
      <c r="E4" s="711" t="s">
        <v>13</v>
      </c>
      <c r="F4" s="711" t="s">
        <v>14</v>
      </c>
      <c r="G4" s="711" t="s">
        <v>15</v>
      </c>
      <c r="H4" s="711" t="s">
        <v>16</v>
      </c>
      <c r="I4" s="711" t="s">
        <v>17</v>
      </c>
      <c r="J4" s="711" t="s">
        <v>18</v>
      </c>
      <c r="K4" s="711" t="s">
        <v>21</v>
      </c>
      <c r="L4" s="711" t="s">
        <v>22</v>
      </c>
      <c r="M4" s="711" t="s">
        <v>23</v>
      </c>
      <c r="N4" s="708" t="s">
        <v>278</v>
      </c>
    </row>
    <row r="5" spans="1:14" ht="13.5" thickBot="1">
      <c r="B5" s="717" t="s">
        <v>193</v>
      </c>
      <c r="C5" s="739"/>
      <c r="D5" s="740"/>
      <c r="E5" s="740"/>
      <c r="F5" s="740"/>
      <c r="G5" s="740"/>
      <c r="H5" s="740"/>
      <c r="I5" s="742"/>
      <c r="J5" s="742"/>
      <c r="K5" s="742"/>
      <c r="L5" s="742"/>
      <c r="M5" s="743"/>
    </row>
    <row r="6" spans="1:14">
      <c r="B6" s="744" t="s">
        <v>179</v>
      </c>
      <c r="C6" s="745"/>
      <c r="D6" s="746" t="e">
        <f>'IS - RAS'!D45</f>
        <v>#VALUE!</v>
      </c>
      <c r="E6" s="746" t="e">
        <f>'IS - RAS'!E45</f>
        <v>#VALUE!</v>
      </c>
      <c r="F6" s="746" t="e">
        <f>'IS - RAS'!F45</f>
        <v>#VALUE!</v>
      </c>
      <c r="G6" s="746" t="e">
        <f>'IS - RAS'!G45</f>
        <v>#VALUE!</v>
      </c>
      <c r="H6" s="746" t="e">
        <f>'IS - RAS'!H45</f>
        <v>#VALUE!</v>
      </c>
      <c r="I6" s="746" t="e">
        <f>'IS - RAS'!I45</f>
        <v>#VALUE!</v>
      </c>
      <c r="J6" s="746" t="e">
        <f>'IS - RAS'!J45</f>
        <v>#VALUE!</v>
      </c>
      <c r="K6" s="746" t="e">
        <f>'IS - RAS'!K45</f>
        <v>#VALUE!</v>
      </c>
      <c r="L6" s="746" t="e">
        <f>'IS - RAS'!L45</f>
        <v>#VALUE!</v>
      </c>
      <c r="M6" s="746" t="e">
        <f>'IS - RAS'!M45</f>
        <v>#VALUE!</v>
      </c>
      <c r="N6" s="709"/>
    </row>
    <row r="7" spans="1:14" ht="13.5" thickBot="1">
      <c r="B7" s="747" t="s">
        <v>178</v>
      </c>
      <c r="C7" s="748"/>
      <c r="D7" s="749" t="e">
        <f>-'IS - RAS'!D43</f>
        <v>#VALUE!</v>
      </c>
      <c r="E7" s="749" t="e">
        <f>-'IS - RAS'!E43</f>
        <v>#VALUE!</v>
      </c>
      <c r="F7" s="749" t="e">
        <f>-'IS - RAS'!F43</f>
        <v>#VALUE!</v>
      </c>
      <c r="G7" s="749" t="e">
        <f>-'IS - RAS'!G43</f>
        <v>#VALUE!</v>
      </c>
      <c r="H7" s="749" t="e">
        <f>-'IS - RAS'!H43</f>
        <v>#VALUE!</v>
      </c>
      <c r="I7" s="749" t="e">
        <f>-'IS - RAS'!I43</f>
        <v>#VALUE!</v>
      </c>
      <c r="J7" s="749" t="e">
        <f>-'IS - RAS'!J43</f>
        <v>#VALUE!</v>
      </c>
      <c r="K7" s="749" t="e">
        <f>-'IS - RAS'!K43</f>
        <v>#VALUE!</v>
      </c>
      <c r="L7" s="749" t="e">
        <f>-'IS - RAS'!L43</f>
        <v>#VALUE!</v>
      </c>
      <c r="M7" s="749" t="e">
        <f>-'IS - RAS'!M43</f>
        <v>#VALUE!</v>
      </c>
    </row>
    <row r="8" spans="1:14" ht="13.5" thickBot="1">
      <c r="B8" s="717" t="s">
        <v>194</v>
      </c>
      <c r="C8" s="739"/>
      <c r="D8" s="740"/>
      <c r="E8" s="740"/>
      <c r="F8" s="740"/>
      <c r="G8" s="740"/>
      <c r="H8" s="740"/>
      <c r="I8" s="740"/>
      <c r="J8" s="740"/>
      <c r="K8" s="740"/>
      <c r="L8" s="740"/>
      <c r="M8" s="741"/>
    </row>
    <row r="9" spans="1:14" ht="13.5" thickBot="1">
      <c r="B9" s="720" t="s">
        <v>274</v>
      </c>
      <c r="C9" s="721"/>
      <c r="D9" s="713">
        <f>IF(Interface!$H$16="DEBT",'Loan Int &amp; Bal - RAS'!B4,IF(Interface!$H$16="DEBT/EQUITY",'Loan Int &amp; Bal - RAS'!B4,0))</f>
        <v>0</v>
      </c>
      <c r="E9" s="713">
        <f>IF(Interface!$H$16="DEBT",'Loan Int &amp; Bal - RAS'!C4,IF(Interface!$H$16="DEBT/EQUITY",'Loan Int &amp; Bal - RAS'!C4,0))</f>
        <v>0</v>
      </c>
      <c r="F9" s="713">
        <f>IF(Interface!$H$16="DEBT",'Loan Int &amp; Bal - RAS'!D4,IF(Interface!$H$16="DEBT/EQUITY",'Loan Int &amp; Bal - RAS'!D4,0))</f>
        <v>0</v>
      </c>
      <c r="G9" s="713">
        <f>IF(Interface!$H$16="DEBT",'Loan Int &amp; Bal - RAS'!E4,IF(Interface!$H$16="DEBT/EQUITY",'Loan Int &amp; Bal - RAS'!E4,0))</f>
        <v>0</v>
      </c>
      <c r="H9" s="713">
        <f>IF(Interface!$H$16="DEBT",'Loan Int &amp; Bal - RAS'!F4,IF(Interface!$H$16="DEBT/EQUITY",'Loan Int &amp; Bal - RAS'!F4,0))</f>
        <v>0</v>
      </c>
      <c r="I9" s="713">
        <f>IF(Interface!$H$16="DEBT",'Loan Int &amp; Bal - RAS'!G4,IF(Interface!$H$16="DEBT/EQUITY",'Loan Int &amp; Bal - RAS'!G4,0))</f>
        <v>0</v>
      </c>
      <c r="J9" s="713">
        <f>IF(Interface!$H$16="DEBT",'Loan Int &amp; Bal - RAS'!H4,IF(Interface!$H$16="DEBT/EQUITY",'Loan Int &amp; Bal - RAS'!H4,0))</f>
        <v>0</v>
      </c>
      <c r="K9" s="713">
        <f>IF(Interface!$H$16="DEBT",'Loan Int &amp; Bal - RAS'!I4,IF(Interface!$H$16="DEBT/EQUITY",'Loan Int &amp; Bal - RAS'!I4,0))</f>
        <v>0</v>
      </c>
      <c r="L9" s="713">
        <f>IF(Interface!$H$16="DEBT",'Loan Int &amp; Bal - RAS'!J4,IF(Interface!$H$16="DEBT/EQUITY",'Loan Int &amp; Bal - RAS'!J4,0))</f>
        <v>0</v>
      </c>
      <c r="M9" s="713">
        <f>IF(Interface!$H$16="DEBT",'Loan Int &amp; Bal - RAS'!K4,IF(Interface!$H$16="DEBT/EQUITY",'Loan Int &amp; Bal - RAS'!K4,0))</f>
        <v>0</v>
      </c>
    </row>
    <row r="10" spans="1:14" ht="13.5" thickBot="1">
      <c r="B10" s="722" t="s">
        <v>176</v>
      </c>
      <c r="C10" s="723"/>
      <c r="D10" s="714" t="e">
        <f>-'IS - RAS'!D38</f>
        <v>#VALUE!</v>
      </c>
      <c r="E10" s="714" t="e">
        <f>-'IS - RAS'!E38</f>
        <v>#VALUE!</v>
      </c>
      <c r="F10" s="714" t="e">
        <f>-'IS - RAS'!F38</f>
        <v>#VALUE!</v>
      </c>
      <c r="G10" s="714" t="e">
        <f>-'IS - RAS'!G38</f>
        <v>#VALUE!</v>
      </c>
      <c r="H10" s="714" t="e">
        <f>-'IS - RAS'!H38</f>
        <v>#VALUE!</v>
      </c>
      <c r="I10" s="714" t="e">
        <f>-'IS - RAS'!I38</f>
        <v>#VALUE!</v>
      </c>
      <c r="J10" s="714" t="e">
        <f>-'IS - RAS'!J38</f>
        <v>#VALUE!</v>
      </c>
      <c r="K10" s="714" t="e">
        <f>-'IS - RAS'!K38</f>
        <v>#VALUE!</v>
      </c>
      <c r="L10" s="714" t="e">
        <f>-'IS - RAS'!L38</f>
        <v>#VALUE!</v>
      </c>
      <c r="M10" s="714" t="e">
        <f>-'IS - RAS'!M38</f>
        <v>#VALUE!</v>
      </c>
      <c r="N10" s="709"/>
    </row>
    <row r="11" spans="1:14" ht="13.5" thickBot="1">
      <c r="B11" s="724" t="s">
        <v>195</v>
      </c>
      <c r="C11" s="734"/>
      <c r="D11" s="735"/>
      <c r="E11" s="735"/>
      <c r="F11" s="735"/>
      <c r="G11" s="735"/>
      <c r="H11" s="735"/>
      <c r="I11" s="735"/>
      <c r="J11" s="735"/>
      <c r="K11" s="735"/>
      <c r="L11" s="735"/>
      <c r="M11" s="736"/>
    </row>
    <row r="12" spans="1:14">
      <c r="B12" s="744" t="s">
        <v>185</v>
      </c>
      <c r="C12" s="745"/>
      <c r="D12" s="746">
        <v>0</v>
      </c>
      <c r="E12" s="746">
        <v>0</v>
      </c>
      <c r="F12" s="746">
        <v>0</v>
      </c>
      <c r="G12" s="746">
        <v>0</v>
      </c>
      <c r="H12" s="746">
        <v>0</v>
      </c>
      <c r="I12" s="746">
        <v>0</v>
      </c>
      <c r="J12" s="746">
        <v>0</v>
      </c>
      <c r="K12" s="746">
        <v>0</v>
      </c>
      <c r="L12" s="746">
        <v>0</v>
      </c>
      <c r="M12" s="746">
        <v>0</v>
      </c>
    </row>
    <row r="13" spans="1:14">
      <c r="B13" s="750" t="s">
        <v>196</v>
      </c>
      <c r="C13" s="751"/>
      <c r="D13" s="752">
        <f>-'BS - RAS'!C9</f>
        <v>0</v>
      </c>
      <c r="E13" s="752">
        <f>'Production Assumptions'!C45-'Production Assumptions'!D45</f>
        <v>0</v>
      </c>
      <c r="F13" s="752">
        <f>'Production Assumptions'!D45-'Production Assumptions'!E45</f>
        <v>0</v>
      </c>
      <c r="G13" s="752">
        <f>'Production Assumptions'!E45-'Production Assumptions'!F45</f>
        <v>0</v>
      </c>
      <c r="H13" s="752">
        <f>'Production Assumptions'!F45-'Production Assumptions'!G45</f>
        <v>0</v>
      </c>
      <c r="I13" s="752">
        <f>'Production Assumptions'!G45-'Production Assumptions'!H45</f>
        <v>0</v>
      </c>
      <c r="J13" s="752">
        <f>'Production Assumptions'!H45-'Production Assumptions'!I45</f>
        <v>0</v>
      </c>
      <c r="K13" s="752">
        <f>'Production Assumptions'!I45-'Production Assumptions'!J45</f>
        <v>0</v>
      </c>
      <c r="L13" s="752">
        <f>'Production Assumptions'!J45-'Production Assumptions'!K44</f>
        <v>0</v>
      </c>
      <c r="M13" s="752">
        <f>'Production Assumptions'!K44-'Production Assumptions'!L44</f>
        <v>0</v>
      </c>
    </row>
    <row r="14" spans="1:14" ht="13.5" thickBot="1">
      <c r="B14" s="750" t="s">
        <v>197</v>
      </c>
      <c r="C14" s="751"/>
      <c r="D14" s="752">
        <v>0</v>
      </c>
      <c r="E14" s="752">
        <v>0</v>
      </c>
      <c r="F14" s="752">
        <v>0</v>
      </c>
      <c r="G14" s="752">
        <v>0</v>
      </c>
      <c r="H14" s="752">
        <v>0</v>
      </c>
      <c r="I14" s="752">
        <v>0</v>
      </c>
      <c r="J14" s="752">
        <v>0</v>
      </c>
      <c r="K14" s="752">
        <v>0</v>
      </c>
      <c r="L14" s="752">
        <v>0</v>
      </c>
      <c r="M14" s="752">
        <v>0</v>
      </c>
    </row>
    <row r="15" spans="1:14">
      <c r="B15" s="890" t="s">
        <v>198</v>
      </c>
      <c r="C15" s="891"/>
      <c r="D15" s="746" t="e">
        <f>SUM(D5:D14)</f>
        <v>#VALUE!</v>
      </c>
      <c r="E15" s="746" t="e">
        <f t="shared" ref="E15:M15" si="0">SUM(E5:E14)</f>
        <v>#VALUE!</v>
      </c>
      <c r="F15" s="746" t="e">
        <f t="shared" si="0"/>
        <v>#VALUE!</v>
      </c>
      <c r="G15" s="746" t="e">
        <f t="shared" si="0"/>
        <v>#VALUE!</v>
      </c>
      <c r="H15" s="746" t="e">
        <f t="shared" si="0"/>
        <v>#VALUE!</v>
      </c>
      <c r="I15" s="746" t="e">
        <f t="shared" si="0"/>
        <v>#VALUE!</v>
      </c>
      <c r="J15" s="746" t="e">
        <f t="shared" si="0"/>
        <v>#VALUE!</v>
      </c>
      <c r="K15" s="746" t="e">
        <f t="shared" si="0"/>
        <v>#VALUE!</v>
      </c>
      <c r="L15" s="746" t="e">
        <f t="shared" si="0"/>
        <v>#VALUE!</v>
      </c>
      <c r="M15" s="746" t="e">
        <f t="shared" si="0"/>
        <v>#VALUE!</v>
      </c>
    </row>
    <row r="16" spans="1:14">
      <c r="B16" s="753" t="s">
        <v>199</v>
      </c>
      <c r="C16" s="754"/>
      <c r="D16" s="755">
        <f>IF(Interface!$H$16="DEBT",-'Loan Int &amp; Bal - RAS'!B4,IF(Interface!$H$16="DEBT/EQUITY",-'Loan Int &amp; Bal - RAS'!B4,0))</f>
        <v>0</v>
      </c>
      <c r="E16" s="755">
        <f>IF(Interface!$H$16="DEBT",-'Loan Int &amp; Bal - RAS'!C4,IF(Interface!$H$16="DEBT/EQUITY",-'Loan Int &amp; Bal - RAS'!C4,0))</f>
        <v>0</v>
      </c>
      <c r="F16" s="755">
        <f>IF(Interface!$H$16="DEBT",-'Loan Int &amp; Bal - RAS'!D4,IF(Interface!$H$16="DEBT/EQUITY",-'Loan Int &amp; Bal - RAS'!D4,0))</f>
        <v>0</v>
      </c>
      <c r="G16" s="755">
        <f>IF(Interface!$H$16="DEBT",-'Loan Int &amp; Bal - RAS'!E4,IF(Interface!$H$16="DEBT/EQUITY",-'Loan Int &amp; Bal - RAS'!E4,0))</f>
        <v>0</v>
      </c>
      <c r="H16" s="755">
        <f>IF(Interface!$H$16="DEBT",-'Loan Int &amp; Bal - RAS'!F4,IF(Interface!$H$16="DEBT/EQUITY",-'Loan Int &amp; Bal - RAS'!F4,0))</f>
        <v>0</v>
      </c>
      <c r="I16" s="755">
        <f>IF(Interface!$H$16="DEBT",-'Loan Int &amp; Bal - RAS'!G4,IF(Interface!$H$16="DEBT/EQUITY",-'Loan Int &amp; Bal - RAS'!G4,0))</f>
        <v>0</v>
      </c>
      <c r="J16" s="755">
        <f>IF(Interface!$H$16="DEBT",-'Loan Int &amp; Bal - RAS'!H4,IF(Interface!$H$16="DEBT/EQUITY",-'Loan Int &amp; Bal - RAS'!H4,0))</f>
        <v>0</v>
      </c>
      <c r="K16" s="755">
        <f>IF(Interface!$H$16="DEBT",-'Loan Int &amp; Bal - RAS'!I4,IF(Interface!$H$16="DEBT/EQUITY",-'Loan Int &amp; Bal - RAS'!I4,0))</f>
        <v>0</v>
      </c>
      <c r="L16" s="755">
        <f>IF(Interface!$H$16="DEBT",-'Loan Int &amp; Bal - RAS'!J4,IF(Interface!$H$16="DEBT/EQUITY",-'Loan Int &amp; Bal - RAS'!J4,0))</f>
        <v>0</v>
      </c>
      <c r="M16" s="755">
        <f>IF(Interface!$H$16="DEBT",-'Loan Int &amp; Bal - RAS'!K4,IF(Interface!$H$16="DEBT/EQUITY",-'Loan Int &amp; Bal - RAS'!K4,0))</f>
        <v>0</v>
      </c>
    </row>
    <row r="17" spans="2:13" ht="13.5" thickBot="1">
      <c r="B17" s="756" t="s">
        <v>200</v>
      </c>
      <c r="C17" s="757"/>
      <c r="D17" s="749">
        <v>0</v>
      </c>
      <c r="E17" s="749">
        <v>0</v>
      </c>
      <c r="F17" s="749">
        <v>0</v>
      </c>
      <c r="G17" s="749">
        <v>0</v>
      </c>
      <c r="H17" s="749">
        <v>0</v>
      </c>
      <c r="I17" s="749">
        <v>0</v>
      </c>
      <c r="J17" s="749">
        <v>0</v>
      </c>
      <c r="K17" s="749">
        <v>0</v>
      </c>
      <c r="L17" s="749">
        <v>0</v>
      </c>
      <c r="M17" s="749">
        <v>0</v>
      </c>
    </row>
    <row r="18" spans="2:13" ht="13.5" thickBot="1">
      <c r="B18" s="727" t="s">
        <v>201</v>
      </c>
      <c r="C18" s="728"/>
      <c r="D18" s="715" t="e">
        <f>SUM(D15:D17)</f>
        <v>#VALUE!</v>
      </c>
      <c r="E18" s="715" t="e">
        <f t="shared" ref="E18:M18" si="1">SUM(E15:E17)</f>
        <v>#VALUE!</v>
      </c>
      <c r="F18" s="715" t="e">
        <f t="shared" si="1"/>
        <v>#VALUE!</v>
      </c>
      <c r="G18" s="715" t="e">
        <f t="shared" si="1"/>
        <v>#VALUE!</v>
      </c>
      <c r="H18" s="715" t="e">
        <f t="shared" si="1"/>
        <v>#VALUE!</v>
      </c>
      <c r="I18" s="715" t="e">
        <f t="shared" si="1"/>
        <v>#VALUE!</v>
      </c>
      <c r="J18" s="715" t="e">
        <f t="shared" si="1"/>
        <v>#VALUE!</v>
      </c>
      <c r="K18" s="715" t="e">
        <f t="shared" si="1"/>
        <v>#VALUE!</v>
      </c>
      <c r="L18" s="715" t="e">
        <f t="shared" si="1"/>
        <v>#VALUE!</v>
      </c>
      <c r="M18" s="715" t="e">
        <f t="shared" si="1"/>
        <v>#VALUE!</v>
      </c>
    </row>
    <row r="19" spans="2:13" s="468" customFormat="1" ht="13.5" thickBot="1">
      <c r="B19" s="758"/>
      <c r="C19" s="758"/>
      <c r="D19" s="759"/>
      <c r="E19" s="759"/>
      <c r="F19" s="759"/>
      <c r="G19" s="759"/>
      <c r="H19" s="759"/>
      <c r="I19" s="759"/>
      <c r="J19" s="759"/>
      <c r="K19" s="759"/>
      <c r="L19" s="759"/>
      <c r="M19" s="759"/>
    </row>
    <row r="20" spans="2:13" ht="13.5" thickBot="1">
      <c r="B20" s="724" t="s">
        <v>202</v>
      </c>
      <c r="C20" s="734"/>
      <c r="D20" s="737"/>
      <c r="E20" s="737"/>
      <c r="F20" s="737"/>
      <c r="G20" s="737"/>
      <c r="H20" s="737"/>
      <c r="I20" s="737"/>
      <c r="J20" s="737"/>
      <c r="K20" s="737"/>
      <c r="L20" s="737"/>
      <c r="M20" s="738"/>
    </row>
    <row r="21" spans="2:13" ht="13.5" thickBot="1">
      <c r="B21" s="718" t="s">
        <v>203</v>
      </c>
      <c r="C21" s="719"/>
      <c r="D21" s="712" t="e">
        <f>-CAPEX!I33</f>
        <v>#VALUE!</v>
      </c>
      <c r="E21" s="712">
        <v>0</v>
      </c>
      <c r="F21" s="712">
        <v>0</v>
      </c>
      <c r="G21" s="712">
        <v>0</v>
      </c>
      <c r="H21" s="712">
        <v>0</v>
      </c>
      <c r="I21" s="712">
        <v>0</v>
      </c>
      <c r="J21" s="712">
        <v>0</v>
      </c>
      <c r="K21" s="712">
        <v>0</v>
      </c>
      <c r="L21" s="712">
        <v>0</v>
      </c>
      <c r="M21" s="712">
        <v>0</v>
      </c>
    </row>
    <row r="22" spans="2:13" ht="13.5" thickBot="1">
      <c r="B22" s="727" t="s">
        <v>204</v>
      </c>
      <c r="C22" s="728"/>
      <c r="D22" s="716" t="e">
        <f>D21</f>
        <v>#VALUE!</v>
      </c>
      <c r="E22" s="716">
        <f t="shared" ref="E22:M22" si="2">E21</f>
        <v>0</v>
      </c>
      <c r="F22" s="716">
        <f t="shared" si="2"/>
        <v>0</v>
      </c>
      <c r="G22" s="716">
        <f t="shared" si="2"/>
        <v>0</v>
      </c>
      <c r="H22" s="716">
        <f t="shared" si="2"/>
        <v>0</v>
      </c>
      <c r="I22" s="716">
        <f t="shared" si="2"/>
        <v>0</v>
      </c>
      <c r="J22" s="716">
        <f t="shared" si="2"/>
        <v>0</v>
      </c>
      <c r="K22" s="716">
        <f t="shared" si="2"/>
        <v>0</v>
      </c>
      <c r="L22" s="716">
        <f t="shared" si="2"/>
        <v>0</v>
      </c>
      <c r="M22" s="716">
        <f t="shared" si="2"/>
        <v>0</v>
      </c>
    </row>
    <row r="23" spans="2:13" s="468" customFormat="1" ht="13.5" thickBot="1">
      <c r="B23" s="758"/>
      <c r="C23" s="758"/>
      <c r="D23" s="759"/>
      <c r="E23" s="759"/>
      <c r="F23" s="759"/>
      <c r="G23" s="759"/>
      <c r="H23" s="759"/>
      <c r="I23" s="759"/>
      <c r="J23" s="759"/>
      <c r="K23" s="759"/>
      <c r="L23" s="759"/>
      <c r="M23" s="759"/>
    </row>
    <row r="24" spans="2:13" ht="13.5" thickBot="1">
      <c r="B24" s="724" t="s">
        <v>205</v>
      </c>
      <c r="C24" s="734"/>
      <c r="D24" s="735"/>
      <c r="E24" s="735"/>
      <c r="F24" s="735"/>
      <c r="G24" s="735"/>
      <c r="H24" s="735"/>
      <c r="I24" s="735"/>
      <c r="J24" s="735"/>
      <c r="K24" s="735"/>
      <c r="L24" s="735"/>
      <c r="M24" s="736"/>
    </row>
    <row r="25" spans="2:13">
      <c r="B25" s="744" t="s">
        <v>206</v>
      </c>
      <c r="C25" s="745"/>
      <c r="D25" s="746">
        <v>0</v>
      </c>
      <c r="E25" s="746">
        <v>0</v>
      </c>
      <c r="F25" s="746">
        <v>0</v>
      </c>
      <c r="G25" s="746">
        <v>0</v>
      </c>
      <c r="H25" s="746">
        <v>0</v>
      </c>
      <c r="I25" s="746">
        <v>0</v>
      </c>
      <c r="J25" s="746">
        <v>0</v>
      </c>
      <c r="K25" s="746">
        <v>0</v>
      </c>
      <c r="L25" s="746">
        <v>0</v>
      </c>
      <c r="M25" s="746">
        <v>0</v>
      </c>
    </row>
    <row r="26" spans="2:13">
      <c r="B26" s="750" t="s">
        <v>289</v>
      </c>
      <c r="C26" s="751"/>
      <c r="D26" s="752">
        <f>IF(Interface!$H$16="EQUITY",CAPEX!I33+'Working Capital - RAS'!$C$33,IF(Interface!$H$16="Debt/Equity",(CAPEX!I33+'Working Capital - RAS'!$C$33)*(100%-Interface!$I$16),0))</f>
        <v>0</v>
      </c>
      <c r="E26" s="752">
        <v>0</v>
      </c>
      <c r="F26" s="752">
        <v>0</v>
      </c>
      <c r="G26" s="752">
        <v>0</v>
      </c>
      <c r="H26" s="752">
        <v>0</v>
      </c>
      <c r="I26" s="752">
        <v>0</v>
      </c>
      <c r="J26" s="752">
        <v>0</v>
      </c>
      <c r="K26" s="752">
        <v>0</v>
      </c>
      <c r="L26" s="752">
        <v>0</v>
      </c>
      <c r="M26" s="752">
        <v>0</v>
      </c>
    </row>
    <row r="27" spans="2:13">
      <c r="B27" s="750" t="s">
        <v>272</v>
      </c>
      <c r="C27" s="751"/>
      <c r="D27" s="752">
        <f>IF(Interface!H16="DEBT",(CAPEX!I33+'Working Capital - RAS'!C33),IF(Interface!H16="DEBT/EQUITY",(CAPEX!I33+'Working Capital - RAS'!C33)*Interface!$I$16,0))</f>
        <v>0</v>
      </c>
      <c r="E27" s="752">
        <f>IF(Interface!I16="DEBT",(+'Working Capital - RAS'!D33*Interface!$I$16),IF(Interface!I16="DEBT/EQUITY",+'Working Capital - RAS'!D33*Interface!$I$16,0))</f>
        <v>0</v>
      </c>
      <c r="F27" s="752">
        <f>IF(Interface!J16="DEBT",(+'Working Capital - RAS'!E33*Interface!$I$16),IF(Interface!J16="DEBT/EQUITY",+'Working Capital - RAS'!E33*Interface!$I$16,0))</f>
        <v>0</v>
      </c>
      <c r="G27" s="752">
        <f>IF(Interface!K16="DEBT",(+'Working Capital - RAS'!F33*Interface!$I$16),IF(Interface!K16="DEBT/EQUITY",+'Working Capital - RAS'!F33*Interface!$I$16,0))</f>
        <v>0</v>
      </c>
      <c r="H27" s="752">
        <f>IF(Interface!L16="DEBT",(+'Working Capital - RAS'!G33*Interface!$I$16),IF(Interface!L16="DEBT/EQUITY",+'Working Capital - RAS'!G33*Interface!$I$16,0))</f>
        <v>0</v>
      </c>
      <c r="I27" s="752">
        <f>IF(Interface!M16="DEBT",(+'Working Capital - RAS'!H33*Interface!$I$16),IF(Interface!M16="DEBT/EQUITY",+'Working Capital - RAS'!H33*Interface!$I$16,0))</f>
        <v>0</v>
      </c>
      <c r="J27" s="752">
        <f>IF(Interface!N16="DEBT",(+'Working Capital - RAS'!#REF!*Interface!$I$16),IF(Interface!N16="DEBT/EQUITY",+'Working Capital - RAS'!#REF!*Interface!$I$16,0))</f>
        <v>0</v>
      </c>
      <c r="K27" s="752">
        <f>IF(Interface!O16="DEBT",(+'Working Capital - RAS'!I33*Interface!$I$16),IF(Interface!O16="DEBT/EQUITY",+'Working Capital - RAS'!I33*Interface!$I$16,0))</f>
        <v>0</v>
      </c>
      <c r="L27" s="752">
        <f>IF(Interface!P16="DEBT",(+'Working Capital - RAS'!J33*Interface!$I$16),IF(Interface!P16="DEBT/EQUITY",+'Working Capital - RAS'!J33*Interface!$I$16,0))</f>
        <v>0</v>
      </c>
      <c r="M27" s="752">
        <f>IF(Interface!Q16="DEBT",(+'Working Capital - RAS'!K33*Interface!$I$16),IF(Interface!Q16="DEBT/EQUITY",+'Working Capital - RAS'!K33*Interface!$I$16,0))</f>
        <v>0</v>
      </c>
    </row>
    <row r="28" spans="2:13" ht="13.5" thickBot="1">
      <c r="B28" s="747" t="s">
        <v>273</v>
      </c>
      <c r="C28" s="748"/>
      <c r="D28" s="749">
        <f>IF(Interface!$H$16="DEBT",-'Loan Int &amp; Bal - RAS'!B6+'Loan Int &amp; Bal - RAS'!B4,IF(Interface!$H$16="DEBT/EQUITY",-'Loan Int &amp; Bal - RAS'!B6+'Loan Int &amp; Bal - RAS'!B4,0))</f>
        <v>0</v>
      </c>
      <c r="E28" s="749">
        <f>IF(Interface!$H$16="DEBT",-'Loan Int &amp; Bal - RAS'!C6+'Loan Int &amp; Bal - RAS'!C4,IF(Interface!$H$16="DEBT/EQUITY",-'Loan Int &amp; Bal - RAS'!C6+'Loan Int &amp; Bal - RAS'!C4,0))</f>
        <v>0</v>
      </c>
      <c r="F28" s="749">
        <f>IF(Interface!$H$16="DEBT",-'Loan Int &amp; Bal - RAS'!D6+'Loan Int &amp; Bal - RAS'!D4,IF(Interface!$H$16="DEBT/EQUITY",-'Loan Int &amp; Bal - RAS'!D6+'Loan Int &amp; Bal - RAS'!D4,0))</f>
        <v>0</v>
      </c>
      <c r="G28" s="749">
        <f>IF(Interface!$H$16="DEBT",-'Loan Int &amp; Bal - RAS'!E6+'Loan Int &amp; Bal - RAS'!E4,IF(Interface!$H$16="DEBT/EQUITY",-'Loan Int &amp; Bal - RAS'!E6+'Loan Int &amp; Bal - RAS'!E4,0))</f>
        <v>0</v>
      </c>
      <c r="H28" s="749">
        <f>IF(Interface!$H$16="DEBT",-'Loan Int &amp; Bal - RAS'!F6+'Loan Int &amp; Bal - RAS'!F4,IF(Interface!$H$16="DEBT/EQUITY",-'Loan Int &amp; Bal - RAS'!F6+'Loan Int &amp; Bal - RAS'!F4,0))</f>
        <v>0</v>
      </c>
      <c r="I28" s="749">
        <f>IF(Interface!$H$16="DEBT",-'Loan Int &amp; Bal - RAS'!G6+'Loan Int &amp; Bal - RAS'!G4,IF(Interface!$H$16="DEBT/EQUITY",-'Loan Int &amp; Bal - RAS'!G6+'Loan Int &amp; Bal - RAS'!G4,0))</f>
        <v>0</v>
      </c>
      <c r="J28" s="749">
        <f>IF(Interface!$H$16="DEBT",-'Loan Int &amp; Bal - RAS'!H6+'Loan Int &amp; Bal - RAS'!H4,IF(Interface!$H$16="DEBT/EQUITY",-'Loan Int &amp; Bal - RAS'!H6+'Loan Int &amp; Bal - RAS'!H4,0))</f>
        <v>0</v>
      </c>
      <c r="K28" s="749">
        <f>IF(Interface!$H$16="DEBT",-'Loan Int &amp; Bal - RAS'!I6+'Loan Int &amp; Bal - RAS'!I4,IF(Interface!$H$16="DEBT/EQUITY",-'Loan Int &amp; Bal - RAS'!I6+'Loan Int &amp; Bal - RAS'!I4,0))</f>
        <v>0</v>
      </c>
      <c r="L28" s="749">
        <f>IF(Interface!$H$16="DEBT",-'Loan Int &amp; Bal - RAS'!J6+'Loan Int &amp; Bal - RAS'!J4,IF(Interface!$H$16="DEBT/EQUITY",-'Loan Int &amp; Bal - RAS'!J6+'Loan Int &amp; Bal - RAS'!J4,0))</f>
        <v>0</v>
      </c>
      <c r="M28" s="749">
        <f>IF(Interface!$H$16="DEBT",-'Loan Int &amp; Bal - RAS'!K6+'Loan Int &amp; Bal - RAS'!K4,IF(Interface!$H$16="DEBT/EQUITY",-'Loan Int &amp; Bal - RAS'!K6+'Loan Int &amp; Bal - RAS'!K4,0))</f>
        <v>0</v>
      </c>
    </row>
    <row r="29" spans="2:13" ht="13.5" thickBot="1">
      <c r="B29" s="729" t="s">
        <v>207</v>
      </c>
      <c r="C29" s="730"/>
      <c r="D29" s="716">
        <f>SUM(D25:D28)</f>
        <v>0</v>
      </c>
      <c r="E29" s="716">
        <f t="shared" ref="E29:M29" si="3">SUM(E25:E28)</f>
        <v>0</v>
      </c>
      <c r="F29" s="716">
        <f t="shared" si="3"/>
        <v>0</v>
      </c>
      <c r="G29" s="716">
        <f t="shared" si="3"/>
        <v>0</v>
      </c>
      <c r="H29" s="716">
        <f t="shared" si="3"/>
        <v>0</v>
      </c>
      <c r="I29" s="716">
        <f t="shared" si="3"/>
        <v>0</v>
      </c>
      <c r="J29" s="716">
        <f t="shared" si="3"/>
        <v>0</v>
      </c>
      <c r="K29" s="716">
        <f t="shared" si="3"/>
        <v>0</v>
      </c>
      <c r="L29" s="716">
        <f t="shared" si="3"/>
        <v>0</v>
      </c>
      <c r="M29" s="716">
        <f t="shared" si="3"/>
        <v>0</v>
      </c>
    </row>
    <row r="30" spans="2:13" s="468" customFormat="1" ht="13.5" thickBot="1">
      <c r="B30" s="760"/>
      <c r="C30" s="760"/>
      <c r="D30" s="761"/>
      <c r="E30" s="761"/>
      <c r="F30" s="761"/>
      <c r="G30" s="761"/>
      <c r="H30" s="761"/>
      <c r="I30" s="761"/>
      <c r="J30" s="761"/>
      <c r="K30" s="761"/>
      <c r="L30" s="761"/>
      <c r="M30" s="761"/>
    </row>
    <row r="31" spans="2:13" ht="13.5" thickBot="1">
      <c r="B31" s="725" t="s">
        <v>208</v>
      </c>
      <c r="C31" s="726"/>
      <c r="D31" s="712" t="e">
        <f>D29+D22+D18</f>
        <v>#VALUE!</v>
      </c>
      <c r="E31" s="712" t="e">
        <f t="shared" ref="E31:M31" si="4">E29+E22+E18</f>
        <v>#VALUE!</v>
      </c>
      <c r="F31" s="712" t="e">
        <f t="shared" si="4"/>
        <v>#VALUE!</v>
      </c>
      <c r="G31" s="712" t="e">
        <f t="shared" si="4"/>
        <v>#VALUE!</v>
      </c>
      <c r="H31" s="712" t="e">
        <f t="shared" si="4"/>
        <v>#VALUE!</v>
      </c>
      <c r="I31" s="712" t="e">
        <f t="shared" si="4"/>
        <v>#VALUE!</v>
      </c>
      <c r="J31" s="712" t="e">
        <f t="shared" si="4"/>
        <v>#VALUE!</v>
      </c>
      <c r="K31" s="712" t="e">
        <f t="shared" si="4"/>
        <v>#VALUE!</v>
      </c>
      <c r="L31" s="712" t="e">
        <f t="shared" si="4"/>
        <v>#VALUE!</v>
      </c>
      <c r="M31" s="712" t="e">
        <f t="shared" si="4"/>
        <v>#VALUE!</v>
      </c>
    </row>
    <row r="32" spans="2:13" s="468" customFormat="1" ht="13.5" thickBot="1">
      <c r="B32" s="760"/>
      <c r="C32" s="760"/>
      <c r="D32" s="761"/>
      <c r="E32" s="761"/>
      <c r="F32" s="761"/>
      <c r="G32" s="761"/>
      <c r="H32" s="761"/>
      <c r="I32" s="761"/>
      <c r="J32" s="761"/>
      <c r="K32" s="761"/>
      <c r="L32" s="761"/>
      <c r="M32" s="761"/>
    </row>
    <row r="33" spans="2:14" ht="13.5" thickBot="1">
      <c r="B33" s="725" t="s">
        <v>209</v>
      </c>
      <c r="C33" s="726"/>
      <c r="D33" s="712">
        <v>0</v>
      </c>
      <c r="E33" s="712" t="e">
        <f>D35</f>
        <v>#VALUE!</v>
      </c>
      <c r="F33" s="712" t="e">
        <f t="shared" ref="F33:M33" si="5">E35</f>
        <v>#VALUE!</v>
      </c>
      <c r="G33" s="712" t="e">
        <f t="shared" si="5"/>
        <v>#VALUE!</v>
      </c>
      <c r="H33" s="712" t="e">
        <f t="shared" si="5"/>
        <v>#VALUE!</v>
      </c>
      <c r="I33" s="712" t="e">
        <f t="shared" si="5"/>
        <v>#VALUE!</v>
      </c>
      <c r="J33" s="712" t="e">
        <f t="shared" si="5"/>
        <v>#VALUE!</v>
      </c>
      <c r="K33" s="712" t="e">
        <f t="shared" si="5"/>
        <v>#VALUE!</v>
      </c>
      <c r="L33" s="712" t="e">
        <f t="shared" si="5"/>
        <v>#VALUE!</v>
      </c>
      <c r="M33" s="712" t="e">
        <f t="shared" si="5"/>
        <v>#VALUE!</v>
      </c>
    </row>
    <row r="34" spans="2:14" s="468" customFormat="1" ht="13.5" thickBot="1">
      <c r="B34" s="760"/>
      <c r="C34" s="760"/>
      <c r="D34" s="761"/>
      <c r="E34" s="761"/>
      <c r="F34" s="761"/>
      <c r="G34" s="761"/>
      <c r="H34" s="761"/>
      <c r="I34" s="761"/>
      <c r="J34" s="761"/>
      <c r="K34" s="761"/>
      <c r="L34" s="761"/>
      <c r="M34" s="761"/>
    </row>
    <row r="35" spans="2:14" ht="13.5" thickBot="1">
      <c r="B35" s="731" t="s">
        <v>210</v>
      </c>
      <c r="C35" s="732">
        <v>-1</v>
      </c>
      <c r="D35" s="716" t="e">
        <f t="shared" ref="D35:M35" si="6">SUM(D31:D34)</f>
        <v>#VALUE!</v>
      </c>
      <c r="E35" s="716" t="e">
        <f t="shared" si="6"/>
        <v>#VALUE!</v>
      </c>
      <c r="F35" s="716" t="e">
        <f t="shared" si="6"/>
        <v>#VALUE!</v>
      </c>
      <c r="G35" s="716" t="e">
        <f t="shared" si="6"/>
        <v>#VALUE!</v>
      </c>
      <c r="H35" s="716" t="e">
        <f t="shared" si="6"/>
        <v>#VALUE!</v>
      </c>
      <c r="I35" s="716" t="e">
        <f t="shared" si="6"/>
        <v>#VALUE!</v>
      </c>
      <c r="J35" s="716" t="e">
        <f t="shared" si="6"/>
        <v>#VALUE!</v>
      </c>
      <c r="K35" s="716" t="e">
        <f t="shared" si="6"/>
        <v>#VALUE!</v>
      </c>
      <c r="L35" s="716" t="e">
        <f t="shared" si="6"/>
        <v>#VALUE!</v>
      </c>
      <c r="M35" s="716" t="e">
        <f t="shared" si="6"/>
        <v>#VALUE!</v>
      </c>
      <c r="N35" s="515">
        <v>1</v>
      </c>
    </row>
    <row r="36" spans="2:14">
      <c r="B36" s="733" t="s">
        <v>211</v>
      </c>
      <c r="C36" s="733"/>
      <c r="D36" s="710" t="e">
        <f>D35-'BS - RAS'!C10</f>
        <v>#VALUE!</v>
      </c>
      <c r="E36" s="710" t="e">
        <f>E35-'BS - RAS'!D10</f>
        <v>#VALUE!</v>
      </c>
      <c r="F36" s="710" t="e">
        <f>F35-'BS - RAS'!E10</f>
        <v>#VALUE!</v>
      </c>
      <c r="G36" s="710" t="e">
        <f>G35-'BS - RAS'!F10</f>
        <v>#VALUE!</v>
      </c>
      <c r="H36" s="710" t="e">
        <f>H35-'BS - RAS'!G10</f>
        <v>#VALUE!</v>
      </c>
      <c r="I36" s="710" t="e">
        <f>I35-'BS - RAS'!H10</f>
        <v>#VALUE!</v>
      </c>
      <c r="J36" s="710" t="e">
        <f>J35-'BS - RAS'!I10</f>
        <v>#VALUE!</v>
      </c>
      <c r="K36" s="710" t="e">
        <f>K35-'BS - RAS'!J10</f>
        <v>#VALUE!</v>
      </c>
      <c r="L36" s="710" t="e">
        <f>L35-'BS - RAS'!K10</f>
        <v>#VALUE!</v>
      </c>
      <c r="M36" s="710" t="e">
        <f>M35-'BS - RAS'!L10</f>
        <v>#VALUE!</v>
      </c>
    </row>
    <row r="37" spans="2:14">
      <c r="B37" s="733"/>
      <c r="C37" s="733"/>
      <c r="D37" s="707" t="e">
        <f>IF(ABS(D36)&lt;0.00001,"OK","ERROR")</f>
        <v>#VALUE!</v>
      </c>
      <c r="E37" s="707" t="e">
        <f t="shared" ref="E37:M37" si="7">IF(ABS(E36)&lt;0.00001,"OK","ERROR")</f>
        <v>#VALUE!</v>
      </c>
      <c r="F37" s="707" t="e">
        <f t="shared" si="7"/>
        <v>#VALUE!</v>
      </c>
      <c r="G37" s="707" t="e">
        <f t="shared" si="7"/>
        <v>#VALUE!</v>
      </c>
      <c r="H37" s="707" t="e">
        <f t="shared" si="7"/>
        <v>#VALUE!</v>
      </c>
      <c r="I37" s="707" t="e">
        <f t="shared" si="7"/>
        <v>#VALUE!</v>
      </c>
      <c r="J37" s="707" t="e">
        <f t="shared" si="7"/>
        <v>#VALUE!</v>
      </c>
      <c r="K37" s="707" t="e">
        <f t="shared" si="7"/>
        <v>#VALUE!</v>
      </c>
      <c r="L37" s="707" t="e">
        <f t="shared" si="7"/>
        <v>#VALUE!</v>
      </c>
      <c r="M37" s="707" t="e">
        <f t="shared" si="7"/>
        <v>#VALUE!</v>
      </c>
    </row>
  </sheetData>
  <mergeCells count="3">
    <mergeCell ref="D3:M3"/>
    <mergeCell ref="B3:C4"/>
    <mergeCell ref="A1:XFD1"/>
  </mergeCells>
  <conditionalFormatting sqref="D37:M37">
    <cfRule type="cellIs" dxfId="28" priority="1" stopIfTrue="1" operator="equal">
      <formula>"OK"</formula>
    </cfRule>
    <cfRule type="cellIs" dxfId="27" priority="2" stopIfTrue="1" operator="notEqual">
      <formula>"OK"</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7856E-6BDA-4824-8FC0-517E77CB3748}">
  <sheetPr codeName="Sheet23">
    <tabColor rgb="FF92D050"/>
  </sheetPr>
  <dimension ref="A1:L25"/>
  <sheetViews>
    <sheetView zoomScaleNormal="100" workbookViewId="0">
      <selection activeCell="C22" sqref="C22"/>
    </sheetView>
  </sheetViews>
  <sheetFormatPr defaultColWidth="9.140625" defaultRowHeight="15"/>
  <cols>
    <col min="1" max="1" width="9.140625" style="89"/>
    <col min="2" max="2" width="31" style="89" customWidth="1"/>
    <col min="3" max="3" width="15.85546875" style="89" bestFit="1" customWidth="1"/>
    <col min="4" max="5" width="14.5703125" style="89" bestFit="1" customWidth="1"/>
    <col min="6" max="6" width="14.5703125" style="89" customWidth="1"/>
    <col min="7" max="7" width="14.140625" style="89" customWidth="1"/>
    <col min="8" max="8" width="15" style="89" bestFit="1" customWidth="1"/>
    <col min="9" max="9" width="14.5703125" style="89" bestFit="1" customWidth="1"/>
    <col min="10" max="11" width="14.140625" style="89" customWidth="1"/>
    <col min="12" max="12" width="12.5703125" style="89" bestFit="1" customWidth="1"/>
    <col min="13" max="16384" width="9.140625" style="89"/>
  </cols>
  <sheetData>
    <row r="1" spans="1:12" s="1176" customFormat="1">
      <c r="A1" s="1176" t="s">
        <v>433</v>
      </c>
    </row>
    <row r="2" spans="1:12" ht="15.75" thickBot="1"/>
    <row r="3" spans="1:12" ht="15.75" thickBot="1">
      <c r="B3" s="1182" t="s">
        <v>181</v>
      </c>
      <c r="C3" s="1183" t="s">
        <v>165</v>
      </c>
      <c r="D3" s="1183"/>
      <c r="E3" s="1184"/>
      <c r="F3" s="1184"/>
      <c r="G3" s="1184"/>
      <c r="H3" s="1184"/>
      <c r="I3" s="1184"/>
      <c r="J3" s="1184"/>
      <c r="K3" s="1184"/>
      <c r="L3" s="1184"/>
    </row>
    <row r="4" spans="1:12" ht="15.75" thickBot="1">
      <c r="B4" s="1182"/>
      <c r="C4" s="689" t="s">
        <v>112</v>
      </c>
      <c r="D4" s="689" t="s">
        <v>113</v>
      </c>
      <c r="E4" s="689" t="s">
        <v>114</v>
      </c>
      <c r="F4" s="689" t="s">
        <v>115</v>
      </c>
      <c r="G4" s="689" t="s">
        <v>116</v>
      </c>
      <c r="H4" s="689" t="s">
        <v>117</v>
      </c>
      <c r="I4" s="689" t="s">
        <v>118</v>
      </c>
      <c r="J4" s="689" t="s">
        <v>119</v>
      </c>
      <c r="K4" s="689" t="s">
        <v>120</v>
      </c>
      <c r="L4" s="689" t="s">
        <v>121</v>
      </c>
    </row>
    <row r="5" spans="1:12" s="200" customFormat="1" ht="15.75" thickBot="1">
      <c r="A5" s="236"/>
      <c r="B5" s="690" t="s">
        <v>182</v>
      </c>
      <c r="C5" s="691"/>
      <c r="D5" s="692"/>
      <c r="E5" s="692"/>
      <c r="F5" s="692"/>
      <c r="G5" s="692"/>
      <c r="H5" s="692"/>
      <c r="I5" s="692"/>
      <c r="J5" s="692"/>
      <c r="K5" s="692"/>
      <c r="L5" s="693"/>
    </row>
    <row r="6" spans="1:12" s="200" customFormat="1" ht="15.75" thickBot="1">
      <c r="A6" s="236"/>
      <c r="B6" s="697" t="s">
        <v>183</v>
      </c>
      <c r="C6" s="698" t="e">
        <f>CAPEX!I33+'IS - RAS'!D38</f>
        <v>#VALUE!</v>
      </c>
      <c r="D6" s="698" t="e">
        <f>(C6+'IS - RAS'!E38)</f>
        <v>#VALUE!</v>
      </c>
      <c r="E6" s="698" t="e">
        <f>(D6+'IS - RAS'!F38)</f>
        <v>#VALUE!</v>
      </c>
      <c r="F6" s="698" t="e">
        <f>(E6+'IS - RAS'!G38)</f>
        <v>#VALUE!</v>
      </c>
      <c r="G6" s="698" t="e">
        <f>(F6+'IS - RAS'!H38)</f>
        <v>#VALUE!</v>
      </c>
      <c r="H6" s="698" t="e">
        <f>(G6+'IS - RAS'!I38)</f>
        <v>#VALUE!</v>
      </c>
      <c r="I6" s="698" t="e">
        <f>(H6+'IS - RAS'!J38)</f>
        <v>#VALUE!</v>
      </c>
      <c r="J6" s="698" t="e">
        <f>(I6+'IS - RAS'!K38)</f>
        <v>#VALUE!</v>
      </c>
      <c r="K6" s="698" t="e">
        <f>(J6+'IS - RAS'!L38)</f>
        <v>#VALUE!</v>
      </c>
      <c r="L6" s="698" t="e">
        <f>(K6+'IS - RAS'!M38)</f>
        <v>#VALUE!</v>
      </c>
    </row>
    <row r="7" spans="1:12" s="200" customFormat="1" ht="15.75" thickBot="1">
      <c r="A7" s="236"/>
      <c r="B7" s="690" t="s">
        <v>184</v>
      </c>
      <c r="C7" s="691"/>
      <c r="D7" s="692"/>
      <c r="E7" s="692"/>
      <c r="F7" s="692"/>
      <c r="G7" s="692"/>
      <c r="H7" s="692"/>
      <c r="I7" s="692"/>
      <c r="J7" s="692"/>
      <c r="K7" s="692"/>
      <c r="L7" s="693"/>
    </row>
    <row r="8" spans="1:12" s="200" customFormat="1">
      <c r="A8" s="236"/>
      <c r="B8" s="701" t="s">
        <v>185</v>
      </c>
      <c r="C8" s="702">
        <v>0</v>
      </c>
      <c r="D8" s="702">
        <v>0</v>
      </c>
      <c r="E8" s="702">
        <v>0</v>
      </c>
      <c r="F8" s="702">
        <v>0</v>
      </c>
      <c r="G8" s="702">
        <v>0</v>
      </c>
      <c r="H8" s="702">
        <v>0</v>
      </c>
      <c r="I8" s="702">
        <v>0</v>
      </c>
      <c r="J8" s="702">
        <v>0</v>
      </c>
      <c r="K8" s="702">
        <v>0</v>
      </c>
      <c r="L8" s="702">
        <v>0</v>
      </c>
    </row>
    <row r="9" spans="1:12" s="200" customFormat="1">
      <c r="A9" s="236"/>
      <c r="B9" s="703" t="s">
        <v>186</v>
      </c>
      <c r="C9" s="704">
        <f>'Production Assumptions'!C45</f>
        <v>0</v>
      </c>
      <c r="D9" s="704">
        <f>'Production Assumptions'!D45</f>
        <v>0</v>
      </c>
      <c r="E9" s="704">
        <f>'Production Assumptions'!E45</f>
        <v>0</v>
      </c>
      <c r="F9" s="704">
        <f>'Production Assumptions'!F45</f>
        <v>0</v>
      </c>
      <c r="G9" s="704">
        <f>'Production Assumptions'!G45</f>
        <v>0</v>
      </c>
      <c r="H9" s="704">
        <f>'Production Assumptions'!H45</f>
        <v>0</v>
      </c>
      <c r="I9" s="704">
        <f>'Production Assumptions'!I45</f>
        <v>0</v>
      </c>
      <c r="J9" s="704">
        <f>'Production Assumptions'!J45</f>
        <v>0</v>
      </c>
      <c r="K9" s="704">
        <f>'Production Assumptions'!K44</f>
        <v>0</v>
      </c>
      <c r="L9" s="704">
        <f>'Production Assumptions'!L44</f>
        <v>0</v>
      </c>
    </row>
    <row r="10" spans="1:12" s="200" customFormat="1" ht="15.75" thickBot="1">
      <c r="A10" s="236"/>
      <c r="B10" s="705" t="s">
        <v>187</v>
      </c>
      <c r="C10" s="706" t="e">
        <f>IF(Interface!H16="Equity",'Production Assumptions'!C44+'IS - RAS'!D36+'IS - RAS'!D16+'Working Capital - RAS'!C33,IF(Interface!H16="Debt/Equity",('Production Assumptions'!C44+'IS - RAS'!D36+'IS - RAS'!D16+'Working Capital - RAS'!C33-'Loan Int &amp; Bal - RAS'!B6),'Production Assumptions'!C44+'IS - RAS'!D36+'IS - RAS'!D16+'Working Capital - RAS'!C33-'Loan Int &amp; Bal - RAS'!B6))</f>
        <v>#VALUE!</v>
      </c>
      <c r="D10" s="706" t="e">
        <f>IF(Interface!$H$16="Equity",'Production Assumptions'!D44+'IS - RAS'!E36+'IS - RAS'!E16+C10, IF(Interface!H16="Debt/Equity",('Production Assumptions'!D44+'IS - RAS'!E36+'IS - RAS'!E16-'Loan Int &amp; Bal - RAS'!C6+C10),'Production Assumptions'!D44+'IS - RAS'!E36+'IS - RAS'!E16+C10-'Loan Int &amp; Bal - RAS'!C6))</f>
        <v>#VALUE!</v>
      </c>
      <c r="E10" s="706" t="e">
        <f>IF(Interface!$H$16="Equity",'Production Assumptions'!E44+'IS - RAS'!F36+'IS - RAS'!F16+D10, IF(Interface!I16="Debt/Equity",('Production Assumptions'!E44+'IS - RAS'!F36+'IS - RAS'!F16-'Loan Int &amp; Bal - RAS'!D6+D10),'Production Assumptions'!E44+'IS - RAS'!F36+'IS - RAS'!F16+D10-'Loan Int &amp; Bal - RAS'!D6))</f>
        <v>#VALUE!</v>
      </c>
      <c r="F10" s="706" t="e">
        <f>IF(Interface!$H$16="Equity",'Production Assumptions'!F44+'IS - RAS'!G36+'IS - RAS'!G16+E10, IF(Interface!J16="Debt/Equity",('Production Assumptions'!F44+'IS - RAS'!G36+'IS - RAS'!G16-'Loan Int &amp; Bal - RAS'!E6+E10),'Production Assumptions'!F44+'IS - RAS'!G36+'IS - RAS'!G16+E10-'Loan Int &amp; Bal - RAS'!E6))</f>
        <v>#VALUE!</v>
      </c>
      <c r="G10" s="706" t="e">
        <f>IF(Interface!$H$16="Equity",'Production Assumptions'!G44+'IS - RAS'!H36+'IS - RAS'!H16+F10, IF(Interface!K16="Debt/Equity",('Production Assumptions'!G44+'IS - RAS'!H36+'IS - RAS'!H16-'Loan Int &amp; Bal - RAS'!F6+F10),'Production Assumptions'!G44+'IS - RAS'!H36+'IS - RAS'!H16+F10-'Loan Int &amp; Bal - RAS'!F6))</f>
        <v>#VALUE!</v>
      </c>
      <c r="H10" s="706" t="e">
        <f>IF(Interface!$H$16="Equity",'Production Assumptions'!H44+'IS - RAS'!I36+'IS - RAS'!I16+G10, IF(Interface!L16="Debt/Equity",('Production Assumptions'!H44+'IS - RAS'!I36+'IS - RAS'!I16-'Loan Int &amp; Bal - RAS'!G6+G10),'Production Assumptions'!H44+'IS - RAS'!I36+'IS - RAS'!I16+G10-'Loan Int &amp; Bal - RAS'!G6))</f>
        <v>#VALUE!</v>
      </c>
      <c r="I10" s="706" t="e">
        <f>IF(Interface!$H$16="Equity",'Production Assumptions'!I44+'IS - RAS'!J36+'IS - RAS'!J16+H10, IF(Interface!M16="Debt/Equity",('Production Assumptions'!I44+'IS - RAS'!J36+'IS - RAS'!J16-'Loan Int &amp; Bal - RAS'!H6+H10),'Production Assumptions'!I44+'IS - RAS'!J36+'IS - RAS'!J16+H10-'Loan Int &amp; Bal - RAS'!H6))</f>
        <v>#VALUE!</v>
      </c>
      <c r="J10" s="706" t="e">
        <f>IF(Interface!$H$16="Equity",'Production Assumptions'!J44+'IS - RAS'!K36+'IS - RAS'!K16+I10, IF(Interface!N16="Debt/Equity",('Production Assumptions'!J44+'IS - RAS'!K36+'IS - RAS'!K16-'Loan Int &amp; Bal - RAS'!I6+I10),'Production Assumptions'!J44+'IS - RAS'!K36+'IS - RAS'!K16+I10-'Loan Int &amp; Bal - RAS'!I6))</f>
        <v>#VALUE!</v>
      </c>
      <c r="K10" s="706" t="e">
        <f>IF(Interface!$H$16="Equity",'Production Assumptions'!K43+'IS - RAS'!L36+'IS - RAS'!L16+J10, IF(Interface!O16="Debt/Equity",('Production Assumptions'!K43+'IS - RAS'!L36+'IS - RAS'!L16-'Loan Int &amp; Bal - RAS'!J6+J10),'Production Assumptions'!K43+'IS - RAS'!L36+'IS - RAS'!L16+J10-'Loan Int &amp; Bal - RAS'!J6))</f>
        <v>#VALUE!</v>
      </c>
      <c r="L10" s="706" t="e">
        <f>IF(Interface!$H$16="Equity",'Production Assumptions'!L43+'IS - RAS'!M36+'IS - RAS'!M16+K10, IF(Interface!P16="Debt/Equity",('Production Assumptions'!L43+'IS - RAS'!M36+'IS - RAS'!M16-'Loan Int &amp; Bal - RAS'!K6+K10),'Production Assumptions'!L43+'IS - RAS'!M36+'IS - RAS'!M16+K10-'Loan Int &amp; Bal - RAS'!K6))</f>
        <v>#VALUE!</v>
      </c>
    </row>
    <row r="11" spans="1:12" s="200" customFormat="1" ht="15.75" thickBot="1">
      <c r="A11" s="236"/>
      <c r="B11" s="699"/>
      <c r="C11" s="700" t="e">
        <f>SUM(C6:C10)</f>
        <v>#VALUE!</v>
      </c>
      <c r="D11" s="700" t="e">
        <f>SUM(D6:D10)</f>
        <v>#VALUE!</v>
      </c>
      <c r="E11" s="700" t="e">
        <f t="shared" ref="E11:L11" si="0">SUM(E6:E10)</f>
        <v>#VALUE!</v>
      </c>
      <c r="F11" s="700" t="e">
        <f t="shared" si="0"/>
        <v>#VALUE!</v>
      </c>
      <c r="G11" s="700" t="e">
        <f t="shared" si="0"/>
        <v>#VALUE!</v>
      </c>
      <c r="H11" s="700" t="e">
        <f t="shared" si="0"/>
        <v>#VALUE!</v>
      </c>
      <c r="I11" s="700" t="e">
        <f t="shared" si="0"/>
        <v>#VALUE!</v>
      </c>
      <c r="J11" s="700" t="e">
        <f t="shared" si="0"/>
        <v>#VALUE!</v>
      </c>
      <c r="K11" s="700" t="e">
        <f t="shared" si="0"/>
        <v>#VALUE!</v>
      </c>
      <c r="L11" s="700" t="e">
        <f t="shared" si="0"/>
        <v>#VALUE!</v>
      </c>
    </row>
    <row r="12" spans="1:12" s="200" customFormat="1" ht="15.75" thickBot="1">
      <c r="A12" s="236"/>
      <c r="B12" s="690" t="s">
        <v>188</v>
      </c>
      <c r="C12" s="691"/>
      <c r="D12" s="692"/>
      <c r="E12" s="692"/>
      <c r="F12" s="692"/>
      <c r="G12" s="692"/>
      <c r="H12" s="692"/>
      <c r="I12" s="692"/>
      <c r="J12" s="692"/>
      <c r="K12" s="692"/>
      <c r="L12" s="693"/>
    </row>
    <row r="13" spans="1:12" s="200" customFormat="1">
      <c r="A13" s="236"/>
      <c r="B13" s="701" t="s">
        <v>189</v>
      </c>
      <c r="C13" s="702" t="e">
        <f>'IS - RAS'!D45</f>
        <v>#VALUE!</v>
      </c>
      <c r="D13" s="702" t="e">
        <f>'IS - RAS'!E45+C13</f>
        <v>#VALUE!</v>
      </c>
      <c r="E13" s="702" t="e">
        <f>'IS - RAS'!F45+D13</f>
        <v>#VALUE!</v>
      </c>
      <c r="F13" s="702" t="e">
        <f>'IS - RAS'!G45+E13</f>
        <v>#VALUE!</v>
      </c>
      <c r="G13" s="702" t="e">
        <f>'IS - RAS'!H45+F13</f>
        <v>#VALUE!</v>
      </c>
      <c r="H13" s="702" t="e">
        <f>'IS - RAS'!I45+G13</f>
        <v>#VALUE!</v>
      </c>
      <c r="I13" s="702" t="e">
        <f>'IS - RAS'!J45+H13</f>
        <v>#VALUE!</v>
      </c>
      <c r="J13" s="702" t="e">
        <f>'IS - RAS'!K45+I13</f>
        <v>#VALUE!</v>
      </c>
      <c r="K13" s="702" t="e">
        <f>'IS - RAS'!L45+J13</f>
        <v>#VALUE!</v>
      </c>
      <c r="L13" s="702" t="e">
        <f>'IS - RAS'!M45+K13</f>
        <v>#VALUE!</v>
      </c>
    </row>
    <row r="14" spans="1:12" s="200" customFormat="1">
      <c r="A14" s="236"/>
      <c r="B14" s="703" t="s">
        <v>190</v>
      </c>
      <c r="C14" s="704">
        <f>IF(Interface!$H$16="EQUITY",CAPEX!$I$33+'Working Capital - RAS'!$C$33,IF(Interface!$H$16="DEBT/EQUITY",(CAPEX!$I$33+'Working Capital - RAS'!$C$33)*(100%-Interface!$I$16),0))</f>
        <v>0</v>
      </c>
      <c r="D14" s="704">
        <f>IF(Interface!$H$16="EQUITY",CAPEX!$I$33+'Working Capital - RAS'!$C$33,IF(Interface!$H$16="DEBT/EQUITY",(CAPEX!$I$33+'Working Capital - RAS'!$C$33)*(100%-Interface!$I$16),0))</f>
        <v>0</v>
      </c>
      <c r="E14" s="704">
        <f>IF(Interface!$H$16="EQUITY",CAPEX!$I$33+'Working Capital - RAS'!$C$33,IF(Interface!$H$16="DEBT/EQUITY",(CAPEX!$I$33+'Working Capital - RAS'!$C$33)*(100%-Interface!$I$16),0))</f>
        <v>0</v>
      </c>
      <c r="F14" s="704">
        <f>IF(Interface!$H$16="EQUITY",CAPEX!$I$33+'Working Capital - RAS'!$C$33,IF(Interface!$H$16="DEBT/EQUITY",(CAPEX!$I$33+'Working Capital - RAS'!$C$33)*(100%-Interface!$I$16),0))</f>
        <v>0</v>
      </c>
      <c r="G14" s="704">
        <f>IF(Interface!$H$16="EQUITY",CAPEX!$I$33+'Working Capital - RAS'!$C$33,IF(Interface!$H$16="DEBT/EQUITY",(CAPEX!$I$33+'Working Capital - RAS'!$C$33)*(100%-Interface!$I$16),0))</f>
        <v>0</v>
      </c>
      <c r="H14" s="704">
        <f>IF(Interface!$H$16="EQUITY",CAPEX!$I$33+'Working Capital - RAS'!$C$33,IF(Interface!$H$16="DEBT/EQUITY",(CAPEX!$I$33+'Working Capital - RAS'!$C$33)*(100%-Interface!$I$16),0))</f>
        <v>0</v>
      </c>
      <c r="I14" s="704">
        <f>IF(Interface!$H$16="EQUITY",CAPEX!$I$33+'Working Capital - RAS'!$C$33,IF(Interface!$H$16="DEBT/EQUITY",(CAPEX!$I$33+'Working Capital - RAS'!$C$33)*(100%-Interface!$I$16),0))</f>
        <v>0</v>
      </c>
      <c r="J14" s="704">
        <f>IF(Interface!$H$16="EQUITY",CAPEX!$I$33+'Working Capital - RAS'!$C$33,IF(Interface!$H$16="DEBT/EQUITY",(CAPEX!$I$33+'Working Capital - RAS'!$C$33)*(100%-Interface!$I$16),0))</f>
        <v>0</v>
      </c>
      <c r="K14" s="704">
        <f>IF(Interface!$H$16="EQUITY",CAPEX!$I$33+'Working Capital - RAS'!$C$33,IF(Interface!$H$16="DEBT/EQUITY",(CAPEX!$I$33+'Working Capital - RAS'!$C$33)*(100%-Interface!$I$16),0))</f>
        <v>0</v>
      </c>
      <c r="L14" s="704">
        <f>IF(Interface!$H$16="EQUITY",CAPEX!$I$33+'Working Capital - RAS'!$C$33,IF(Interface!$H$16="DEBT/EQUITY",(CAPEX!$I$33+'Working Capital - RAS'!$C$33)*(100%-Interface!$I$16),0))</f>
        <v>0</v>
      </c>
    </row>
    <row r="15" spans="1:12" s="200" customFormat="1">
      <c r="A15" s="236"/>
      <c r="B15" s="703" t="s">
        <v>255</v>
      </c>
      <c r="C15" s="704">
        <f>IF(Interface!$H$16="DEBT",'Loan Int &amp; Bal - RAS'!B5,IF(Interface!$H$16="DEBT/EQUITY",'Loan Int &amp; Bal - RAS'!B5,0))</f>
        <v>0</v>
      </c>
      <c r="D15" s="704">
        <f>IF(Interface!$H$16="DEBT",'Loan Int &amp; Bal - RAS'!C5,IF(Interface!$H$16="DEBT/EQUITY",'Loan Int &amp; Bal - RAS'!C5,0))</f>
        <v>0</v>
      </c>
      <c r="E15" s="704">
        <f>IF(Interface!$H$16="DEBT",'Loan Int &amp; Bal - RAS'!D5,IF(Interface!$H$16="DEBT/EQUITY",'Loan Int &amp; Bal - RAS'!D5,0))</f>
        <v>0</v>
      </c>
      <c r="F15" s="704">
        <f>IF(Interface!$H$16="DEBT",'Loan Int &amp; Bal - RAS'!E5,IF(Interface!$H$16="DEBT/EQUITY",'Loan Int &amp; Bal - RAS'!E5,0))</f>
        <v>0</v>
      </c>
      <c r="G15" s="704">
        <f>IF(Interface!$H$16="DEBT",'Loan Int &amp; Bal - RAS'!F5,IF(Interface!$H$16="DEBT/EQUITY",'Loan Int &amp; Bal - RAS'!F5,0))</f>
        <v>0</v>
      </c>
      <c r="H15" s="704">
        <f>IF(Interface!$H$16="DEBT",'Loan Int &amp; Bal - RAS'!G5,IF(Interface!$H$16="DEBT/EQUITY",'Loan Int &amp; Bal - RAS'!G5,0))</f>
        <v>0</v>
      </c>
      <c r="I15" s="704">
        <f>IF(Interface!$H$16="DEBT",'Loan Int &amp; Bal - RAS'!H5,IF(Interface!$H$16="DEBT/EQUITY",'Loan Int &amp; Bal - RAS'!H5,0))</f>
        <v>0</v>
      </c>
      <c r="J15" s="704">
        <f>IF(Interface!$H$16="DEBT",'Loan Int &amp; Bal - RAS'!I5,IF(Interface!$H$16="DEBT/EQUITY",'Loan Int &amp; Bal - RAS'!I5,0))</f>
        <v>0</v>
      </c>
      <c r="K15" s="704">
        <f>IF(Interface!$H$16="DEBT",'Loan Int &amp; Bal - RAS'!J5,IF(Interface!$H$16="DEBT/EQUITY",'Loan Int &amp; Bal - RAS'!J5,0))</f>
        <v>0</v>
      </c>
      <c r="L15" s="704">
        <f>IF(Interface!$H$16="DEBT",'Loan Int &amp; Bal - RAS'!K5,IF(Interface!$H$16="DEBT/EQUITY",'Loan Int &amp; Bal - RAS'!K5,0))</f>
        <v>0</v>
      </c>
    </row>
    <row r="16" spans="1:12" s="200" customFormat="1" ht="15.75" thickBot="1">
      <c r="A16" s="236"/>
      <c r="B16" s="705" t="s">
        <v>191</v>
      </c>
      <c r="C16" s="706" t="e">
        <f>-'IS - RAS'!D43</f>
        <v>#VALUE!</v>
      </c>
      <c r="D16" s="706" t="e">
        <f>-'IS - RAS'!E43+C16</f>
        <v>#VALUE!</v>
      </c>
      <c r="E16" s="706" t="e">
        <f>-'IS - RAS'!F43+D16</f>
        <v>#VALUE!</v>
      </c>
      <c r="F16" s="706" t="e">
        <f>-'IS - RAS'!G43+E16</f>
        <v>#VALUE!</v>
      </c>
      <c r="G16" s="706" t="e">
        <f>-'IS - RAS'!H43+F16</f>
        <v>#VALUE!</v>
      </c>
      <c r="H16" s="706" t="e">
        <f>-'IS - RAS'!I43+G16</f>
        <v>#VALUE!</v>
      </c>
      <c r="I16" s="706" t="e">
        <f>-'IS - RAS'!J43+H16</f>
        <v>#VALUE!</v>
      </c>
      <c r="J16" s="706" t="e">
        <f>-'IS - RAS'!K43+I16</f>
        <v>#VALUE!</v>
      </c>
      <c r="K16" s="706" t="e">
        <f>-'IS - RAS'!L43+J16</f>
        <v>#VALUE!</v>
      </c>
      <c r="L16" s="706" t="e">
        <f>-'IS - RAS'!M43+K16</f>
        <v>#VALUE!</v>
      </c>
    </row>
    <row r="17" spans="1:12" s="200" customFormat="1" ht="15.75" thickBot="1">
      <c r="A17" s="236"/>
      <c r="B17" s="699"/>
      <c r="C17" s="700" t="e">
        <f t="shared" ref="C17:L17" si="1">SUM(C13:C16)</f>
        <v>#VALUE!</v>
      </c>
      <c r="D17" s="700" t="e">
        <f t="shared" si="1"/>
        <v>#VALUE!</v>
      </c>
      <c r="E17" s="700" t="e">
        <f t="shared" si="1"/>
        <v>#VALUE!</v>
      </c>
      <c r="F17" s="700" t="e">
        <f t="shared" si="1"/>
        <v>#VALUE!</v>
      </c>
      <c r="G17" s="700" t="e">
        <f t="shared" si="1"/>
        <v>#VALUE!</v>
      </c>
      <c r="H17" s="700" t="e">
        <f t="shared" si="1"/>
        <v>#VALUE!</v>
      </c>
      <c r="I17" s="700" t="e">
        <f t="shared" si="1"/>
        <v>#VALUE!</v>
      </c>
      <c r="J17" s="700" t="e">
        <f t="shared" si="1"/>
        <v>#VALUE!</v>
      </c>
      <c r="K17" s="700" t="e">
        <f t="shared" si="1"/>
        <v>#VALUE!</v>
      </c>
      <c r="L17" s="700" t="e">
        <f t="shared" si="1"/>
        <v>#VALUE!</v>
      </c>
    </row>
    <row r="18" spans="1:12" s="200" customFormat="1">
      <c r="A18" s="236"/>
      <c r="B18" s="515"/>
      <c r="C18" s="694" t="e">
        <f t="shared" ref="C18:L18" si="2">C11-C17</f>
        <v>#VALUE!</v>
      </c>
      <c r="D18" s="694" t="e">
        <f t="shared" si="2"/>
        <v>#VALUE!</v>
      </c>
      <c r="E18" s="694" t="e">
        <f t="shared" si="2"/>
        <v>#VALUE!</v>
      </c>
      <c r="F18" s="694" t="e">
        <f t="shared" si="2"/>
        <v>#VALUE!</v>
      </c>
      <c r="G18" s="694" t="e">
        <f t="shared" si="2"/>
        <v>#VALUE!</v>
      </c>
      <c r="H18" s="694" t="e">
        <f t="shared" si="2"/>
        <v>#VALUE!</v>
      </c>
      <c r="I18" s="694" t="e">
        <f t="shared" si="2"/>
        <v>#VALUE!</v>
      </c>
      <c r="J18" s="694" t="e">
        <f t="shared" si="2"/>
        <v>#VALUE!</v>
      </c>
      <c r="K18" s="694" t="e">
        <f t="shared" si="2"/>
        <v>#VALUE!</v>
      </c>
      <c r="L18" s="694" t="e">
        <f t="shared" si="2"/>
        <v>#VALUE!</v>
      </c>
    </row>
    <row r="19" spans="1:12">
      <c r="B19" s="695"/>
      <c r="C19" s="696" t="e">
        <f>IF(ABS(C18)&lt;0.00001,"OK","ERROR")</f>
        <v>#VALUE!</v>
      </c>
      <c r="D19" s="696" t="e">
        <f t="shared" ref="D19:L19" si="3">IF(ABS(D18)&lt;0.00001,"OK","ERROR")</f>
        <v>#VALUE!</v>
      </c>
      <c r="E19" s="696" t="e">
        <f t="shared" si="3"/>
        <v>#VALUE!</v>
      </c>
      <c r="F19" s="696" t="e">
        <f>IF(ABS(F18)&lt;0.00001,"OK","ERROR")</f>
        <v>#VALUE!</v>
      </c>
      <c r="G19" s="696" t="e">
        <f t="shared" si="3"/>
        <v>#VALUE!</v>
      </c>
      <c r="H19" s="696" t="e">
        <f t="shared" si="3"/>
        <v>#VALUE!</v>
      </c>
      <c r="I19" s="696" t="e">
        <f t="shared" si="3"/>
        <v>#VALUE!</v>
      </c>
      <c r="J19" s="696" t="e">
        <f t="shared" si="3"/>
        <v>#VALUE!</v>
      </c>
      <c r="K19" s="696" t="e">
        <f t="shared" si="3"/>
        <v>#VALUE!</v>
      </c>
      <c r="L19" s="696" t="e">
        <f t="shared" si="3"/>
        <v>#VALUE!</v>
      </c>
    </row>
    <row r="21" spans="1:12">
      <c r="C21" s="91"/>
      <c r="G21" s="90"/>
      <c r="H21" s="92"/>
    </row>
    <row r="22" spans="1:12">
      <c r="G22" s="91"/>
      <c r="H22" s="92"/>
    </row>
    <row r="23" spans="1:12">
      <c r="C23" s="90"/>
      <c r="D23" s="90"/>
      <c r="E23" s="90"/>
      <c r="F23" s="90"/>
      <c r="G23" s="90"/>
      <c r="H23" s="90"/>
      <c r="I23" s="90"/>
      <c r="J23" s="90"/>
      <c r="K23" s="90"/>
      <c r="L23" s="90"/>
    </row>
    <row r="24" spans="1:12">
      <c r="G24" s="91"/>
    </row>
    <row r="25" spans="1:12">
      <c r="C25" s="90"/>
      <c r="D25" s="90"/>
      <c r="E25" s="90"/>
      <c r="F25" s="90"/>
      <c r="G25" s="90"/>
      <c r="H25" s="90"/>
      <c r="I25" s="90"/>
      <c r="J25" s="90"/>
      <c r="K25" s="90"/>
      <c r="L25" s="90"/>
    </row>
  </sheetData>
  <mergeCells count="3">
    <mergeCell ref="B3:B4"/>
    <mergeCell ref="C3:L3"/>
    <mergeCell ref="A1:XFD1"/>
  </mergeCells>
  <conditionalFormatting sqref="C19:L19">
    <cfRule type="cellIs" dxfId="30" priority="1" stopIfTrue="1" operator="equal">
      <formula>"OK"</formula>
    </cfRule>
    <cfRule type="cellIs" dxfId="29" priority="2" stopIfTrue="1" operator="notEqual">
      <formula>"OK"</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7BB16-E336-4DF1-B37C-6BBE68BFAA64}">
  <sheetPr codeName="Sheet16">
    <tabColor rgb="FF92D050"/>
  </sheetPr>
  <dimension ref="A1:J21"/>
  <sheetViews>
    <sheetView workbookViewId="0">
      <selection sqref="A1:XFD1"/>
    </sheetView>
  </sheetViews>
  <sheetFormatPr defaultColWidth="9.140625" defaultRowHeight="15"/>
  <cols>
    <col min="1" max="1" width="2.140625" style="44" customWidth="1"/>
    <col min="2" max="2" width="1.42578125" style="44" customWidth="1"/>
    <col min="3" max="3" width="19.28515625" style="44" bestFit="1" customWidth="1"/>
    <col min="4" max="4" width="17.5703125" style="44" bestFit="1" customWidth="1"/>
    <col min="5" max="5" width="15.85546875" style="44" customWidth="1"/>
    <col min="6" max="6" width="1.28515625" style="44" customWidth="1"/>
    <col min="7" max="16384" width="9.140625" style="44"/>
  </cols>
  <sheetData>
    <row r="1" spans="1:10" s="1176" customFormat="1">
      <c r="A1" s="1176" t="s">
        <v>436</v>
      </c>
    </row>
    <row r="2" spans="1:10" ht="15.75" thickBot="1"/>
    <row r="3" spans="1:10">
      <c r="B3" s="53"/>
      <c r="C3" s="286"/>
      <c r="D3" s="286" t="s">
        <v>92</v>
      </c>
      <c r="E3" s="514">
        <v>7.0000000000000007E-2</v>
      </c>
      <c r="F3" s="191"/>
    </row>
    <row r="4" spans="1:10" ht="15.75" thickBot="1">
      <c r="B4" s="182"/>
      <c r="C4" s="1190" t="s">
        <v>93</v>
      </c>
      <c r="D4" s="1190"/>
      <c r="E4" s="437"/>
      <c r="F4" s="57"/>
    </row>
    <row r="5" spans="1:10" ht="30.75" thickBot="1">
      <c r="B5" s="182"/>
      <c r="C5" s="97" t="s">
        <v>87</v>
      </c>
      <c r="D5" s="98" t="s">
        <v>88</v>
      </c>
      <c r="E5" s="101" t="s">
        <v>94</v>
      </c>
      <c r="F5" s="511"/>
    </row>
    <row r="6" spans="1:10">
      <c r="B6" s="182"/>
      <c r="C6" s="437" t="s">
        <v>89</v>
      </c>
      <c r="D6" s="174">
        <f>'IRR - RAS'!D6</f>
        <v>0</v>
      </c>
      <c r="E6" s="168"/>
      <c r="F6" s="512"/>
    </row>
    <row r="7" spans="1:10">
      <c r="B7" s="182"/>
      <c r="C7" s="45">
        <v>1</v>
      </c>
      <c r="D7" s="174" t="e">
        <f>'IRR - RAS'!D7</f>
        <v>#VALUE!</v>
      </c>
      <c r="E7" s="169" t="e">
        <f>D7/((1+$E$3)^C7)</f>
        <v>#VALUE!</v>
      </c>
      <c r="F7" s="513"/>
    </row>
    <row r="8" spans="1:10">
      <c r="B8" s="182"/>
      <c r="C8" s="45">
        <v>2</v>
      </c>
      <c r="D8" s="174" t="e">
        <f>'IRR - RAS'!D8</f>
        <v>#VALUE!</v>
      </c>
      <c r="E8" s="169" t="e">
        <f t="shared" ref="E8:E16" si="0">D8/((1+$E$3)^C8)</f>
        <v>#VALUE!</v>
      </c>
      <c r="F8" s="513"/>
    </row>
    <row r="9" spans="1:10">
      <c r="B9" s="182"/>
      <c r="C9" s="45">
        <v>3</v>
      </c>
      <c r="D9" s="174" t="e">
        <f>'IRR - RAS'!D9</f>
        <v>#VALUE!</v>
      </c>
      <c r="E9" s="169" t="e">
        <f t="shared" si="0"/>
        <v>#VALUE!</v>
      </c>
      <c r="F9" s="513"/>
      <c r="J9" s="44" t="s">
        <v>95</v>
      </c>
    </row>
    <row r="10" spans="1:10">
      <c r="B10" s="182"/>
      <c r="C10" s="45">
        <v>4</v>
      </c>
      <c r="D10" s="174" t="e">
        <f>'IRR - RAS'!D10</f>
        <v>#VALUE!</v>
      </c>
      <c r="E10" s="169" t="e">
        <f t="shared" si="0"/>
        <v>#VALUE!</v>
      </c>
      <c r="F10" s="513"/>
    </row>
    <row r="11" spans="1:10">
      <c r="B11" s="182"/>
      <c r="C11" s="45">
        <v>5</v>
      </c>
      <c r="D11" s="174" t="e">
        <f>'IRR - RAS'!D11</f>
        <v>#VALUE!</v>
      </c>
      <c r="E11" s="169" t="e">
        <f t="shared" si="0"/>
        <v>#VALUE!</v>
      </c>
      <c r="F11" s="513"/>
    </row>
    <row r="12" spans="1:10">
      <c r="B12" s="182"/>
      <c r="C12" s="45">
        <v>6</v>
      </c>
      <c r="D12" s="174" t="e">
        <f>'IRR - RAS'!D12</f>
        <v>#VALUE!</v>
      </c>
      <c r="E12" s="169" t="e">
        <f t="shared" si="0"/>
        <v>#VALUE!</v>
      </c>
      <c r="F12" s="513"/>
    </row>
    <row r="13" spans="1:10">
      <c r="B13" s="182"/>
      <c r="C13" s="45">
        <v>7</v>
      </c>
      <c r="D13" s="174" t="e">
        <f>'IRR - RAS'!D13</f>
        <v>#VALUE!</v>
      </c>
      <c r="E13" s="169" t="e">
        <f t="shared" si="0"/>
        <v>#VALUE!</v>
      </c>
      <c r="F13" s="513"/>
    </row>
    <row r="14" spans="1:10">
      <c r="B14" s="182"/>
      <c r="C14" s="45">
        <v>8</v>
      </c>
      <c r="D14" s="174" t="e">
        <f>'IRR - RAS'!D14</f>
        <v>#VALUE!</v>
      </c>
      <c r="E14" s="169" t="e">
        <f t="shared" si="0"/>
        <v>#VALUE!</v>
      </c>
      <c r="F14" s="513"/>
    </row>
    <row r="15" spans="1:10">
      <c r="B15" s="182"/>
      <c r="C15" s="45">
        <v>9</v>
      </c>
      <c r="D15" s="174" t="e">
        <f>'IRR - RAS'!D15</f>
        <v>#VALUE!</v>
      </c>
      <c r="E15" s="169" t="e">
        <f t="shared" si="0"/>
        <v>#VALUE!</v>
      </c>
      <c r="F15" s="513"/>
    </row>
    <row r="16" spans="1:10">
      <c r="B16" s="182"/>
      <c r="C16" s="45">
        <v>10</v>
      </c>
      <c r="D16" s="174" t="e">
        <f>'IRR - RAS'!D16</f>
        <v>#VALUE!</v>
      </c>
      <c r="E16" s="169" t="e">
        <f t="shared" si="0"/>
        <v>#VALUE!</v>
      </c>
      <c r="F16" s="513"/>
    </row>
    <row r="17" spans="2:6" ht="15.75" thickBot="1">
      <c r="B17" s="182"/>
      <c r="C17" s="55"/>
      <c r="D17" s="169"/>
      <c r="E17" s="169"/>
      <c r="F17" s="57"/>
    </row>
    <row r="18" spans="2:6" ht="15.75" thickBot="1">
      <c r="B18" s="182"/>
      <c r="C18" s="55" t="s">
        <v>96</v>
      </c>
      <c r="D18" s="170" t="e">
        <f>SUM(E7:E16)</f>
        <v>#VALUE!</v>
      </c>
      <c r="E18" s="169"/>
      <c r="F18" s="57"/>
    </row>
    <row r="19" spans="2:6" ht="15.75" thickBot="1">
      <c r="B19" s="182"/>
      <c r="C19" s="55"/>
      <c r="D19" s="95"/>
      <c r="E19" s="95"/>
      <c r="F19" s="57"/>
    </row>
    <row r="20" spans="2:6" ht="15.75" thickBot="1">
      <c r="B20" s="182"/>
      <c r="C20" s="55" t="s">
        <v>7</v>
      </c>
      <c r="D20" s="425" t="e">
        <f>NPV(E3,D7,D8,D9,D10,D11,D12,D13,D14,D15,D16)/-D6</f>
        <v>#VALUE!</v>
      </c>
      <c r="E20" s="100"/>
      <c r="F20" s="57"/>
    </row>
    <row r="21" spans="2:6" ht="15.75" thickBot="1">
      <c r="B21" s="60"/>
      <c r="C21" s="61"/>
      <c r="D21" s="61"/>
      <c r="E21" s="61"/>
      <c r="F21" s="62"/>
    </row>
  </sheetData>
  <mergeCells count="2">
    <mergeCell ref="C4:D4"/>
    <mergeCell ref="A1:XFD1"/>
  </mergeCells>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5F5C8-04CE-4C87-869A-7547C763DA10}">
  <sheetPr codeName="Sheet15">
    <tabColor rgb="FF92D050"/>
  </sheetPr>
  <dimension ref="A1:F21"/>
  <sheetViews>
    <sheetView zoomScaleNormal="100" workbookViewId="0">
      <selection sqref="A1:XFD1"/>
    </sheetView>
  </sheetViews>
  <sheetFormatPr defaultColWidth="9.140625" defaultRowHeight="15"/>
  <cols>
    <col min="1" max="1" width="3.7109375" style="44" customWidth="1"/>
    <col min="2" max="2" width="1.42578125" style="44" customWidth="1"/>
    <col min="3" max="3" width="19.28515625" style="44" bestFit="1" customWidth="1"/>
    <col min="4" max="4" width="17.5703125" style="44" bestFit="1" customWidth="1"/>
    <col min="5" max="5" width="1.28515625" style="44" customWidth="1"/>
    <col min="6" max="6" width="9.140625" style="44"/>
    <col min="7" max="7" width="12.5703125" style="44" bestFit="1" customWidth="1"/>
    <col min="8" max="9" width="11" style="44" bestFit="1" customWidth="1"/>
    <col min="10" max="12" width="11.28515625" style="44" bestFit="1" customWidth="1"/>
    <col min="13" max="16384" width="9.140625" style="44"/>
  </cols>
  <sheetData>
    <row r="1" spans="1:6" s="1176" customFormat="1">
      <c r="A1" s="1176" t="s">
        <v>435</v>
      </c>
    </row>
    <row r="2" spans="1:6" ht="15.75" thickBot="1">
      <c r="B2" s="55"/>
      <c r="C2" s="55"/>
      <c r="D2" s="55"/>
    </row>
    <row r="3" spans="1:6" ht="6.75" customHeight="1">
      <c r="A3" s="55"/>
      <c r="B3" s="53"/>
      <c r="C3" s="286"/>
      <c r="D3" s="286"/>
      <c r="E3" s="191"/>
    </row>
    <row r="4" spans="1:6" ht="15.75" thickBot="1">
      <c r="A4" s="55"/>
      <c r="B4" s="182"/>
      <c r="C4" s="1191" t="s">
        <v>86</v>
      </c>
      <c r="D4" s="1191"/>
      <c r="E4" s="57"/>
    </row>
    <row r="5" spans="1:6" ht="30.75" thickBot="1">
      <c r="A5" s="55"/>
      <c r="B5" s="182"/>
      <c r="C5" s="97" t="s">
        <v>87</v>
      </c>
      <c r="D5" s="98" t="s">
        <v>88</v>
      </c>
      <c r="E5" s="511"/>
      <c r="F5" s="94"/>
    </row>
    <row r="6" spans="1:6">
      <c r="A6" s="55"/>
      <c r="B6" s="182"/>
      <c r="C6" s="437" t="s">
        <v>89</v>
      </c>
      <c r="D6" s="168">
        <f>-('BS - RAS'!C14+'Loan - RAS'!B10)</f>
        <v>0</v>
      </c>
      <c r="E6" s="512"/>
      <c r="F6" s="94"/>
    </row>
    <row r="7" spans="1:6">
      <c r="A7" s="55"/>
      <c r="B7" s="182"/>
      <c r="C7" s="45">
        <v>1</v>
      </c>
      <c r="D7" s="169" t="e">
        <f>'CF - RAS'!D35</f>
        <v>#VALUE!</v>
      </c>
      <c r="E7" s="513"/>
    </row>
    <row r="8" spans="1:6">
      <c r="A8" s="55"/>
      <c r="B8" s="182"/>
      <c r="C8" s="45">
        <v>2</v>
      </c>
      <c r="D8" s="169" t="e">
        <f>'CF - RAS'!E35</f>
        <v>#VALUE!</v>
      </c>
      <c r="E8" s="513"/>
    </row>
    <row r="9" spans="1:6">
      <c r="A9" s="55"/>
      <c r="B9" s="182"/>
      <c r="C9" s="45">
        <v>3</v>
      </c>
      <c r="D9" s="169" t="e">
        <f>'CF - RAS'!F35</f>
        <v>#VALUE!</v>
      </c>
      <c r="E9" s="513"/>
    </row>
    <row r="10" spans="1:6">
      <c r="A10" s="55"/>
      <c r="B10" s="182"/>
      <c r="C10" s="45">
        <v>4</v>
      </c>
      <c r="D10" s="169" t="e">
        <f>'CF - RAS'!G35</f>
        <v>#VALUE!</v>
      </c>
      <c r="E10" s="513"/>
    </row>
    <row r="11" spans="1:6">
      <c r="A11" s="55"/>
      <c r="B11" s="182"/>
      <c r="C11" s="45">
        <v>5</v>
      </c>
      <c r="D11" s="169" t="e">
        <f>'CF - RAS'!H35</f>
        <v>#VALUE!</v>
      </c>
      <c r="E11" s="513"/>
    </row>
    <row r="12" spans="1:6">
      <c r="A12" s="55"/>
      <c r="B12" s="182"/>
      <c r="C12" s="45">
        <v>6</v>
      </c>
      <c r="D12" s="169" t="e">
        <f>'CF - RAS'!I35</f>
        <v>#VALUE!</v>
      </c>
      <c r="E12" s="513"/>
    </row>
    <row r="13" spans="1:6">
      <c r="A13" s="55"/>
      <c r="B13" s="182"/>
      <c r="C13" s="45">
        <v>7</v>
      </c>
      <c r="D13" s="169" t="e">
        <f>'CF - RAS'!J35</f>
        <v>#VALUE!</v>
      </c>
      <c r="E13" s="513"/>
    </row>
    <row r="14" spans="1:6">
      <c r="A14" s="55"/>
      <c r="B14" s="182"/>
      <c r="C14" s="45">
        <v>8</v>
      </c>
      <c r="D14" s="169" t="e">
        <f>'CF - RAS'!K35</f>
        <v>#VALUE!</v>
      </c>
      <c r="E14" s="513"/>
    </row>
    <row r="15" spans="1:6">
      <c r="A15" s="55"/>
      <c r="B15" s="182"/>
      <c r="C15" s="45">
        <v>9</v>
      </c>
      <c r="D15" s="169" t="e">
        <f>'CF - RAS'!L35</f>
        <v>#VALUE!</v>
      </c>
      <c r="E15" s="513"/>
    </row>
    <row r="16" spans="1:6">
      <c r="A16" s="55"/>
      <c r="B16" s="182"/>
      <c r="C16" s="45">
        <v>10</v>
      </c>
      <c r="D16" s="169" t="e">
        <f>'CF - RAS'!M35</f>
        <v>#VALUE!</v>
      </c>
      <c r="E16" s="513"/>
    </row>
    <row r="17" spans="1:5" ht="15.75" thickBot="1">
      <c r="A17" s="55"/>
      <c r="B17" s="182"/>
      <c r="C17" s="55"/>
      <c r="D17" s="169"/>
      <c r="E17" s="57"/>
    </row>
    <row r="18" spans="1:5" ht="15.75" thickBot="1">
      <c r="A18" s="55"/>
      <c r="B18" s="182"/>
      <c r="C18" s="55" t="s">
        <v>90</v>
      </c>
      <c r="D18" s="170" t="e">
        <f>SUM(D6:D16)</f>
        <v>#VALUE!</v>
      </c>
      <c r="E18" s="57"/>
    </row>
    <row r="19" spans="1:5" ht="15.75" thickBot="1">
      <c r="A19" s="55"/>
      <c r="B19" s="182"/>
      <c r="C19" s="55"/>
      <c r="D19" s="95"/>
      <c r="E19" s="57"/>
    </row>
    <row r="20" spans="1:5" ht="15.75" thickBot="1">
      <c r="A20" s="55"/>
      <c r="B20" s="182"/>
      <c r="C20" s="55" t="s">
        <v>91</v>
      </c>
      <c r="D20" s="96" t="e">
        <f>IF(D18&gt;0, IRR(D6:D16), 0)</f>
        <v>#VALUE!</v>
      </c>
      <c r="E20" s="57"/>
    </row>
    <row r="21" spans="1:5" ht="15.75" thickBot="1">
      <c r="A21" s="55"/>
      <c r="B21" s="60"/>
      <c r="C21" s="61"/>
      <c r="D21" s="61"/>
      <c r="E21" s="62"/>
    </row>
  </sheetData>
  <mergeCells count="2">
    <mergeCell ref="C4:D4"/>
    <mergeCell ref="A1:XFD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3399"/>
  </sheetPr>
  <dimension ref="A1:AE59"/>
  <sheetViews>
    <sheetView showGridLines="0" tabSelected="1" showRuler="0" zoomScale="50" zoomScaleNormal="50" workbookViewId="0">
      <selection activeCell="O28" sqref="O28"/>
    </sheetView>
  </sheetViews>
  <sheetFormatPr defaultColWidth="9.140625" defaultRowHeight="12"/>
  <cols>
    <col min="1" max="1" width="3.5703125" style="20" customWidth="1"/>
    <col min="2" max="2" width="1.7109375" style="20" customWidth="1"/>
    <col min="3" max="3" width="5.85546875" style="20" customWidth="1"/>
    <col min="4" max="4" width="6.5703125" style="20" customWidth="1"/>
    <col min="5" max="5" width="27.140625" style="20" customWidth="1"/>
    <col min="6" max="6" width="27.7109375" style="20" customWidth="1"/>
    <col min="7" max="7" width="33.5703125" style="20" customWidth="1"/>
    <col min="8" max="8" width="25.42578125" style="20" customWidth="1"/>
    <col min="9" max="9" width="36" style="20" bestFit="1" customWidth="1"/>
    <col min="10" max="10" width="30.5703125" style="20" customWidth="1"/>
    <col min="11" max="11" width="12.140625" style="20" customWidth="1"/>
    <col min="12" max="12" width="1.42578125" style="20" customWidth="1"/>
    <col min="13" max="13" width="3.5703125" style="20" customWidth="1"/>
    <col min="14" max="14" width="9.140625" style="20"/>
    <col min="15" max="15" width="44.28515625" style="20" customWidth="1"/>
    <col min="16" max="16384" width="9.140625" style="20"/>
  </cols>
  <sheetData>
    <row r="1" spans="1:14" ht="51" customHeight="1">
      <c r="C1" s="23" t="s">
        <v>0</v>
      </c>
      <c r="G1" s="24"/>
      <c r="H1" s="24"/>
      <c r="I1" s="24"/>
      <c r="J1" s="24"/>
    </row>
    <row r="2" spans="1:14" ht="7.5" customHeight="1">
      <c r="B2" s="21"/>
      <c r="C2" s="21"/>
      <c r="D2" s="21"/>
      <c r="E2" s="21"/>
      <c r="F2" s="21"/>
      <c r="G2" s="21"/>
      <c r="H2" s="21"/>
      <c r="I2" s="21"/>
      <c r="J2" s="21"/>
      <c r="K2" s="21"/>
      <c r="L2" s="21"/>
    </row>
    <row r="3" spans="1:14">
      <c r="B3" s="22"/>
      <c r="L3" s="21"/>
    </row>
    <row r="4" spans="1:14" ht="28.5">
      <c r="B4" s="22"/>
      <c r="F4" s="25"/>
      <c r="G4" s="24"/>
      <c r="H4" s="24"/>
      <c r="I4" s="24"/>
      <c r="J4" s="24"/>
      <c r="L4" s="21"/>
    </row>
    <row r="5" spans="1:14" ht="35.25" customHeight="1">
      <c r="B5" s="21"/>
      <c r="L5" s="21"/>
    </row>
    <row r="6" spans="1:14" ht="33.75" customHeight="1" thickBot="1">
      <c r="B6" s="21"/>
      <c r="I6" s="26"/>
      <c r="L6" s="21"/>
    </row>
    <row r="7" spans="1:14" ht="65.25" customHeight="1" thickBot="1">
      <c r="B7" s="21"/>
      <c r="E7" s="165" t="s">
        <v>25</v>
      </c>
      <c r="F7" s="165" t="s">
        <v>30</v>
      </c>
      <c r="G7" s="166" t="s">
        <v>471</v>
      </c>
      <c r="H7" s="166" t="s">
        <v>28</v>
      </c>
      <c r="I7" s="302" t="s">
        <v>333</v>
      </c>
      <c r="J7" s="303" t="s">
        <v>470</v>
      </c>
      <c r="L7" s="21"/>
    </row>
    <row r="8" spans="1:14" ht="36" customHeight="1" thickBot="1">
      <c r="B8" s="21"/>
      <c r="D8" s="27"/>
      <c r="G8" s="1231" t="str">
        <f>IF(E7=Validation!H68, "Please only select a Pond system if producing Koi/Goldfish","Please ensure you have selected the appropriate system")</f>
        <v>Please ensure you have selected the appropriate system</v>
      </c>
      <c r="H8" s="1232"/>
      <c r="I8" s="177" t="s">
        <v>605</v>
      </c>
      <c r="J8" s="177" t="s">
        <v>473</v>
      </c>
      <c r="L8" s="21"/>
    </row>
    <row r="9" spans="1:14" ht="20.25" customHeight="1" thickBot="1">
      <c r="B9" s="21"/>
      <c r="D9" s="27"/>
      <c r="G9" s="972"/>
      <c r="H9" s="972"/>
      <c r="L9" s="21"/>
    </row>
    <row r="10" spans="1:14" ht="44.25" customHeight="1" thickBot="1">
      <c r="B10" s="21"/>
      <c r="D10" s="972"/>
      <c r="G10" s="972"/>
      <c r="H10" s="972"/>
      <c r="I10" s="972"/>
      <c r="J10" s="303" t="e">
        <f>J7/12</f>
        <v>#VALUE!</v>
      </c>
      <c r="L10" s="21"/>
    </row>
    <row r="11" spans="1:14" ht="22.5" customHeight="1" thickBot="1">
      <c r="B11" s="21"/>
      <c r="D11" s="972"/>
      <c r="E11" s="972"/>
      <c r="F11" s="972"/>
      <c r="G11" s="972"/>
      <c r="H11" s="972"/>
      <c r="I11" s="972"/>
      <c r="J11" s="177" t="s">
        <v>525</v>
      </c>
      <c r="L11" s="21"/>
    </row>
    <row r="12" spans="1:14" ht="17.25" customHeight="1">
      <c r="B12" s="21"/>
      <c r="G12" s="301"/>
      <c r="I12" s="972"/>
      <c r="L12" s="21"/>
    </row>
    <row r="13" spans="1:14" ht="31.5" customHeight="1" thickBot="1">
      <c r="B13" s="21"/>
      <c r="D13" s="28"/>
      <c r="E13" s="29" t="s">
        <v>4</v>
      </c>
      <c r="F13" s="29"/>
      <c r="G13" s="30"/>
      <c r="H13" s="30"/>
      <c r="I13" s="30"/>
      <c r="J13" s="31"/>
      <c r="K13" s="28"/>
      <c r="L13" s="32"/>
      <c r="M13" s="28"/>
      <c r="N13" s="28"/>
    </row>
    <row r="14" spans="1:14" ht="12" customHeight="1">
      <c r="B14" s="21"/>
      <c r="D14" s="28"/>
      <c r="E14" s="33"/>
      <c r="F14" s="33"/>
      <c r="G14" s="34"/>
      <c r="H14" s="34"/>
      <c r="I14" s="34"/>
      <c r="J14" s="28"/>
      <c r="K14" s="28"/>
      <c r="L14" s="32"/>
      <c r="M14" s="28"/>
      <c r="N14" s="28"/>
    </row>
    <row r="15" spans="1:14" ht="48.75" customHeight="1" thickBot="1">
      <c r="B15" s="21"/>
      <c r="D15" s="28"/>
      <c r="E15" s="35" t="s">
        <v>241</v>
      </c>
      <c r="F15" s="35" t="s">
        <v>243</v>
      </c>
      <c r="G15" s="35" t="s">
        <v>290</v>
      </c>
      <c r="H15" s="35" t="s">
        <v>244</v>
      </c>
      <c r="I15" s="35" t="s">
        <v>307</v>
      </c>
      <c r="K15" s="34"/>
      <c r="L15" s="32"/>
      <c r="M15" s="34"/>
      <c r="N15" s="28"/>
    </row>
    <row r="16" spans="1:14" ht="33.75" customHeight="1" thickBot="1">
      <c r="A16" s="28"/>
      <c r="B16" s="21"/>
      <c r="D16" s="28"/>
      <c r="E16" s="165" t="s">
        <v>343</v>
      </c>
      <c r="F16" s="166" t="s">
        <v>342</v>
      </c>
      <c r="G16" s="166" t="s">
        <v>53</v>
      </c>
      <c r="H16" s="167" t="s">
        <v>292</v>
      </c>
      <c r="I16" s="167" t="s">
        <v>308</v>
      </c>
      <c r="J16" s="28"/>
      <c r="K16" s="28"/>
      <c r="L16" s="32"/>
      <c r="M16" s="28"/>
      <c r="N16" s="28"/>
    </row>
    <row r="17" spans="1:31" ht="30.75" customHeight="1" thickBot="1">
      <c r="A17" s="28"/>
      <c r="B17" s="21"/>
      <c r="D17" s="28"/>
      <c r="E17" s="28"/>
      <c r="F17" s="1081" t="str">
        <f>IF($E$16=Validation!H10,"If facility already exists, please change this option to YES"," ")</f>
        <v xml:space="preserve"> </v>
      </c>
      <c r="G17" s="28"/>
      <c r="H17" s="28"/>
      <c r="I17" s="28"/>
      <c r="J17" s="28"/>
      <c r="K17" s="28"/>
      <c r="L17" s="32"/>
      <c r="M17" s="28"/>
      <c r="N17" s="28"/>
    </row>
    <row r="18" spans="1:31" ht="47.25" customHeight="1" thickBot="1">
      <c r="A18" s="28"/>
      <c r="B18" s="21"/>
      <c r="D18" s="28"/>
      <c r="E18" s="40" t="s">
        <v>249</v>
      </c>
      <c r="F18" s="35" t="s">
        <v>253</v>
      </c>
      <c r="G18" s="35" t="s">
        <v>242</v>
      </c>
      <c r="J18" s="28"/>
      <c r="K18" s="28"/>
      <c r="L18" s="32"/>
      <c r="M18" s="28"/>
    </row>
    <row r="19" spans="1:31" ht="47.25" customHeight="1" thickBot="1">
      <c r="A19" s="28"/>
      <c r="B19" s="21"/>
      <c r="D19" s="28"/>
      <c r="E19" s="167" t="str">
        <f>IF(E7=Validation!H66,Validation!D43,Validation!D42)</f>
        <v>5 Months</v>
      </c>
      <c r="F19" s="165" t="s">
        <v>254</v>
      </c>
      <c r="G19" s="165" t="s">
        <v>42</v>
      </c>
      <c r="H19" s="28"/>
      <c r="J19" s="28"/>
      <c r="K19" s="28"/>
      <c r="L19" s="32"/>
      <c r="M19" s="28"/>
    </row>
    <row r="20" spans="1:31" ht="36" customHeight="1" thickBot="1">
      <c r="A20" s="28"/>
      <c r="B20" s="21"/>
      <c r="D20" s="28"/>
      <c r="E20" s="304" t="s">
        <v>586</v>
      </c>
      <c r="F20" s="304" t="s">
        <v>595</v>
      </c>
      <c r="G20" s="1098" t="str">
        <f>IF(AND($F$7="KwaZulu-Natal",$G$7=Validation!$F$3),"RAS may work in northern extremity of KZN (near the border) without greenhouse tunnels, but even then reduces the growth period by four months  in winter when water temperatures are down to 17 degrees C"," ")</f>
        <v xml:space="preserve"> </v>
      </c>
      <c r="H20" s="1099"/>
      <c r="I20" s="36"/>
      <c r="J20" s="28"/>
      <c r="K20" s="28"/>
      <c r="L20" s="32"/>
      <c r="M20" s="28"/>
      <c r="N20" s="28"/>
    </row>
    <row r="21" spans="1:31" ht="3" customHeight="1">
      <c r="A21" s="28"/>
      <c r="B21" s="21"/>
      <c r="D21" s="28"/>
      <c r="E21" s="176"/>
      <c r="F21" s="19"/>
      <c r="G21" s="1099"/>
      <c r="H21" s="1099"/>
      <c r="I21" s="36"/>
      <c r="J21" s="28"/>
      <c r="K21" s="28"/>
      <c r="L21" s="32"/>
      <c r="M21" s="28"/>
      <c r="N21" s="28"/>
    </row>
    <row r="22" spans="1:31" ht="3" customHeight="1">
      <c r="A22" s="28"/>
      <c r="B22" s="21"/>
      <c r="D22" s="28"/>
      <c r="E22" s="176"/>
      <c r="F22" s="19"/>
      <c r="G22" s="939"/>
      <c r="H22" s="939"/>
      <c r="I22" s="36"/>
      <c r="J22" s="28"/>
      <c r="K22" s="28"/>
      <c r="L22" s="32"/>
      <c r="M22" s="28"/>
      <c r="N22" s="28"/>
    </row>
    <row r="23" spans="1:31" ht="39" thickBot="1">
      <c r="B23" s="21"/>
      <c r="E23" s="29" t="s">
        <v>5</v>
      </c>
      <c r="F23" s="31"/>
      <c r="G23" s="180"/>
      <c r="H23" s="180"/>
      <c r="I23" s="31"/>
      <c r="J23" s="31"/>
      <c r="K23" s="28"/>
      <c r="L23" s="32"/>
      <c r="M23" s="28"/>
      <c r="AD23" s="28"/>
    </row>
    <row r="24" spans="1:31">
      <c r="B24" s="21"/>
      <c r="C24" s="28"/>
      <c r="D24" s="28"/>
      <c r="E24" s="28"/>
      <c r="F24" s="28"/>
      <c r="G24" s="28"/>
      <c r="H24" s="28"/>
      <c r="I24" s="28"/>
      <c r="J24" s="28"/>
      <c r="K24" s="28"/>
      <c r="L24" s="32"/>
      <c r="M24" s="28"/>
      <c r="AD24" s="28"/>
    </row>
    <row r="25" spans="1:31" ht="24" customHeight="1">
      <c r="B25" s="21"/>
      <c r="C25" s="28"/>
      <c r="E25" s="37" t="s">
        <v>54</v>
      </c>
      <c r="F25" s="28"/>
      <c r="G25" s="38"/>
      <c r="H25" s="28"/>
      <c r="I25" s="28"/>
      <c r="J25" s="28"/>
      <c r="K25" s="28"/>
      <c r="L25" s="32"/>
      <c r="M25" s="28"/>
      <c r="Z25" s="28"/>
      <c r="AA25" s="28"/>
      <c r="AB25" s="28"/>
      <c r="AC25" s="28"/>
      <c r="AD25" s="28"/>
    </row>
    <row r="26" spans="1:31" ht="8.25" customHeight="1">
      <c r="B26" s="21"/>
      <c r="C26" s="28"/>
      <c r="E26" s="39"/>
      <c r="F26" s="28"/>
      <c r="G26" s="38"/>
      <c r="H26" s="28"/>
      <c r="I26" s="28"/>
      <c r="J26" s="28"/>
      <c r="K26" s="28"/>
      <c r="L26" s="32"/>
      <c r="M26" s="28"/>
      <c r="Z26" s="28"/>
      <c r="AA26" s="28"/>
      <c r="AB26" s="28"/>
      <c r="AC26" s="28"/>
      <c r="AD26" s="28"/>
    </row>
    <row r="27" spans="1:31" ht="51" customHeight="1" thickBot="1">
      <c r="B27" s="21"/>
      <c r="C27" s="28"/>
      <c r="D27" s="28"/>
      <c r="E27" s="40" t="s">
        <v>279</v>
      </c>
      <c r="F27" s="40" t="s">
        <v>245</v>
      </c>
      <c r="G27" s="40" t="s">
        <v>282</v>
      </c>
      <c r="H27" s="40" t="s">
        <v>281</v>
      </c>
      <c r="I27" s="40" t="s">
        <v>246</v>
      </c>
      <c r="J27" s="40" t="s">
        <v>247</v>
      </c>
      <c r="L27" s="32"/>
      <c r="N27" s="28"/>
      <c r="AA27" s="28"/>
      <c r="AB27" s="28"/>
      <c r="AC27" s="28"/>
      <c r="AD27" s="28"/>
      <c r="AE27" s="28"/>
    </row>
    <row r="28" spans="1:31" ht="36.75" customHeight="1" thickBot="1">
      <c r="B28" s="21"/>
      <c r="C28" s="28"/>
      <c r="D28" s="28"/>
      <c r="E28" s="159">
        <f>IF(G7=" Recirculation Aquaculture System (RAS)",'IRR - RAS'!D20,IF(G7=Validation!F5,'IRR - Pond'!D20,0))</f>
        <v>0</v>
      </c>
      <c r="F28" s="160" t="str">
        <f>IF(G7=" Recirculation Aquaculture System (RAS)",'NPV &amp; PI - RAS'!D20,IF(G7=Validation!F5,'NPV &amp; PI - Pond'!D20,"Please select different system"))</f>
        <v>Please select different system</v>
      </c>
      <c r="G28" s="171" t="str">
        <f>IF(G7=" Recirculation Aquaculture System (RAS)",'Working Capital - RAS'!C33,IF(G7=Validation!F5,'Working Capital - Pond'!C34,"Please select a different system"))</f>
        <v>Please select a different system</v>
      </c>
      <c r="H28" s="171" t="str">
        <f>IF(G7=" Recirculation Aquaculture System (RAS)",CAPEX!I33,IF(G7=Validation!F5,CAPEX!Q28,"Please select different system"))</f>
        <v>Please select different system</v>
      </c>
      <c r="I28" s="161">
        <f>IF(H16="DEBT",RISK!C25,IF(H16="DEBT/EQUITY",RISK!C25,0))</f>
        <v>0</v>
      </c>
      <c r="J28" s="426" t="s">
        <v>329</v>
      </c>
      <c r="L28" s="32"/>
      <c r="M28" s="427"/>
      <c r="N28" s="28"/>
      <c r="O28" s="428"/>
      <c r="AA28" s="28"/>
      <c r="AB28" s="28"/>
      <c r="AC28" s="28"/>
      <c r="AD28" s="28"/>
      <c r="AE28" s="28"/>
    </row>
    <row r="29" spans="1:31" ht="15.75" customHeight="1">
      <c r="B29" s="21"/>
      <c r="E29" s="28"/>
      <c r="F29" s="28"/>
      <c r="G29" s="28"/>
      <c r="H29" s="28"/>
      <c r="I29" s="28"/>
      <c r="J29" s="28"/>
      <c r="K29" s="28"/>
      <c r="L29" s="32"/>
      <c r="M29" s="28"/>
      <c r="Z29" s="28"/>
      <c r="AA29" s="28"/>
      <c r="AB29" s="28"/>
      <c r="AC29" s="28"/>
      <c r="AD29" s="28"/>
    </row>
    <row r="30" spans="1:31" ht="25.5" customHeight="1">
      <c r="B30" s="21"/>
      <c r="E30" s="42" t="s">
        <v>55</v>
      </c>
      <c r="F30" s="28"/>
      <c r="G30" s="28"/>
      <c r="H30" s="28"/>
      <c r="I30" s="28"/>
      <c r="J30" s="41"/>
      <c r="K30" s="41"/>
      <c r="L30" s="32"/>
      <c r="Z30" s="28"/>
      <c r="AA30" s="28"/>
      <c r="AB30" s="28"/>
      <c r="AC30" s="28"/>
      <c r="AD30" s="28"/>
    </row>
    <row r="31" spans="1:31" ht="35.25" customHeight="1" thickBot="1">
      <c r="B31" s="21"/>
      <c r="E31" s="1105" t="s">
        <v>248</v>
      </c>
      <c r="F31" s="1105"/>
      <c r="G31" s="40" t="s">
        <v>276</v>
      </c>
      <c r="H31" s="40" t="s">
        <v>275</v>
      </c>
      <c r="I31" s="40" t="s">
        <v>291</v>
      </c>
      <c r="J31" s="40" t="s">
        <v>297</v>
      </c>
      <c r="K31" s="41"/>
      <c r="L31" s="32"/>
      <c r="M31" s="41"/>
      <c r="Z31" s="28"/>
      <c r="AA31" s="28"/>
      <c r="AB31" s="28"/>
      <c r="AC31" s="28"/>
      <c r="AD31" s="28"/>
    </row>
    <row r="32" spans="1:31" ht="36.75" customHeight="1" thickBot="1">
      <c r="B32" s="21"/>
      <c r="E32" s="1103" t="str">
        <f>'Production Assumptions'!B23</f>
        <v>No permits are currently required</v>
      </c>
      <c r="F32" s="1104"/>
      <c r="G32" s="162" t="b">
        <f>IF(G7=" Recirculation Aquaculture System (RAS)",(INDEX('IS - RAS'!C4:N4,1,MATCH(0,'IS - RAS'!C45:N45,1)+1)),IF(G7=Validation!F5,(INDEX('IS - Pond'!C4:N4,1,MATCH(0,'IS - Pond'!C46:M46,1)+1))))</f>
        <v>0</v>
      </c>
      <c r="H32" s="163" t="b">
        <f>IF(G7=" Recirculation Aquaculture System (RAS)",(INDEX('CF - RAS'!C4:N4,1,MATCH(0,'CF - RAS'!C35:N35,1)+1)),IF(G7=Validation!F5,(INDEX('CF - Pond'!C4:N4,1,MATCH(0,'CF - Pond'!C35:N35,1)+1))))</f>
        <v>0</v>
      </c>
      <c r="I32" s="1063">
        <f>IF($G$7=" Recirculation Aquaculture System (RAS)",CAPEX!E11,IF($G$7=Validation!F5,CAPEX!M10,))</f>
        <v>0</v>
      </c>
      <c r="J32" s="164" t="str">
        <f>IF(G7=" Recirculation Aquaculture System (RAS)",HR!D38,IF(G7=Validation!F5,HR!D39,"Please select a different system"))</f>
        <v>Please select a different system</v>
      </c>
      <c r="K32" s="41"/>
      <c r="L32" s="32"/>
      <c r="M32" s="41"/>
      <c r="Z32" s="28"/>
      <c r="AA32" s="28"/>
      <c r="AB32" s="28"/>
      <c r="AC32" s="28"/>
      <c r="AD32" s="28"/>
    </row>
    <row r="33" spans="2:13" ht="15" customHeight="1">
      <c r="B33" s="21"/>
      <c r="C33" s="28"/>
      <c r="D33" s="28"/>
      <c r="E33" s="28"/>
      <c r="F33" s="28"/>
      <c r="G33" s="28"/>
      <c r="H33" s="28"/>
      <c r="I33" s="28"/>
      <c r="J33" s="28"/>
      <c r="K33" s="28"/>
      <c r="L33" s="32"/>
      <c r="M33" s="28"/>
    </row>
    <row r="34" spans="2:13" ht="27.75" customHeight="1">
      <c r="B34" s="21"/>
      <c r="C34" s="28"/>
      <c r="D34" s="28"/>
      <c r="E34" s="255" t="s">
        <v>304</v>
      </c>
      <c r="F34" s="28"/>
      <c r="J34" s="28"/>
      <c r="K34" s="28"/>
      <c r="L34" s="32"/>
      <c r="M34" s="28"/>
    </row>
    <row r="35" spans="2:13" ht="15" customHeight="1">
      <c r="B35" s="21"/>
      <c r="C35" s="28"/>
      <c r="D35" s="28"/>
      <c r="E35" s="28"/>
      <c r="F35" s="28"/>
      <c r="J35" s="28"/>
      <c r="K35" s="28"/>
      <c r="L35" s="32"/>
      <c r="M35" s="28"/>
    </row>
    <row r="36" spans="2:13" ht="30.75" customHeight="1" thickBot="1">
      <c r="B36" s="21"/>
      <c r="C36" s="28"/>
      <c r="D36" s="28"/>
      <c r="F36" s="40" t="s">
        <v>320</v>
      </c>
      <c r="G36" s="175" t="s">
        <v>330</v>
      </c>
      <c r="H36" s="40" t="s">
        <v>321</v>
      </c>
      <c r="I36" s="175" t="s">
        <v>323</v>
      </c>
      <c r="K36" s="28"/>
      <c r="L36" s="32"/>
      <c r="M36" s="28"/>
    </row>
    <row r="37" spans="2:13" ht="15" customHeight="1">
      <c r="B37" s="21"/>
      <c r="C37" s="28"/>
      <c r="D37" s="28"/>
      <c r="F37" s="1108" t="str">
        <f>IF($E$7=Validation!$H$66,"24 - 28˚C",IF(AND($E$7=Validation!$H$67,OR(E11=Validation!H81,E11=Validation!H83,E11=Validation!H84)),"26 - 29˚C",IF(AND(E7=Validation!H67,OR(E11=Validation!H82,E11=Validation!H85)),"23 - 28˚C",IF(AND(E7=Validation!H68,OR(E11=Validation!H73,E11=Validation!H74)),"20 - 30˚C",IF(AND(E7=Validation!H68,OR(E11=Validation!H75,E11=Validation!H76)),"23 - 27˚C",IF(AND(E7=Validation!H68,E11=Validation!H77),"26 - 32˚C","27 - 30˚C"))))))</f>
        <v>27 - 30˚C</v>
      </c>
      <c r="G37" s="1110" t="str">
        <f>IF(E7=Validation!H69,"90%","80%")</f>
        <v>80%</v>
      </c>
      <c r="H37" s="1106" t="str">
        <f>IF($E$7=Validation!$H$66,"Less than 2ppt",IF(AND(E7=Validation!H67,OR(E11=Validation!H81,E11=Validation!H82,E11=Validation!H84,E11=Validation!H85)),"Less than 1ppt",IF(AND(E7=Validation!H67,E11=Validation!H83),"Less than 3ppt",IF(AND(E7=Validation!H68,OR(E11=Validation!H73,E11=Validation!H74)),"Less than 3ppt",IF(AND(E7=Validation!H68,OR(E11=Validation!H75,E11=Validation!H76,E11=Validation!H77)),"Less than 1ppt","Less than 4ppt")))))</f>
        <v>Less than 4ppt</v>
      </c>
      <c r="I37" s="1112" t="str">
        <f>IF(E7=Validation!H66,"Between 6.5 - 8",IF(AND(E7=Validation!H67,OR(E11=Validation!H81,E11=Validation!H82,E11=Validation!H84,E11=Validation!H85)),"Between 6 - 7.5",IF(AND(E7=Validation!H67,E11=Validation!H83),"Between 7 - 8.5",IF(AND(E7=Validation!H68,OR(E11=Validation!H73,E11=Validation!H74,E11=Validation!H77)),"Between 6 - 8",IF(AND(E7=Validation!H68,OR(E11=Validation!H75,E11=Validation!H76)),"Between 6 - 7.5","Between 7 - 8")))))</f>
        <v>Between 7 - 8</v>
      </c>
      <c r="K37" s="28"/>
      <c r="L37" s="32"/>
      <c r="M37" s="28"/>
    </row>
    <row r="38" spans="2:13" ht="15" customHeight="1" thickBot="1">
      <c r="B38" s="21"/>
      <c r="C38" s="28"/>
      <c r="D38" s="28"/>
      <c r="F38" s="1109"/>
      <c r="G38" s="1111"/>
      <c r="H38" s="1107"/>
      <c r="I38" s="1113"/>
      <c r="K38" s="28"/>
      <c r="L38" s="32"/>
      <c r="M38" s="28"/>
    </row>
    <row r="39" spans="2:13" ht="15" customHeight="1">
      <c r="B39" s="21"/>
      <c r="C39" s="28"/>
      <c r="D39" s="28"/>
      <c r="E39" s="28"/>
      <c r="K39" s="28"/>
      <c r="L39" s="32"/>
      <c r="M39" s="28"/>
    </row>
    <row r="40" spans="2:13" ht="15" customHeight="1">
      <c r="B40" s="21"/>
      <c r="C40" s="28"/>
      <c r="D40" s="28"/>
      <c r="E40" s="28"/>
      <c r="K40" s="28"/>
      <c r="L40" s="32"/>
      <c r="M40" s="28"/>
    </row>
    <row r="41" spans="2:13" ht="15.75" thickBot="1">
      <c r="B41" s="21"/>
      <c r="C41" s="28"/>
      <c r="D41" s="28"/>
      <c r="F41" s="40" t="s">
        <v>322</v>
      </c>
      <c r="G41" s="40" t="s">
        <v>331</v>
      </c>
      <c r="H41" s="40" t="s">
        <v>324</v>
      </c>
      <c r="K41" s="28"/>
      <c r="L41" s="32"/>
      <c r="M41" s="28"/>
    </row>
    <row r="42" spans="2:13" ht="15" customHeight="1">
      <c r="B42" s="21"/>
      <c r="C42" s="28"/>
      <c r="D42" s="28"/>
      <c r="F42" s="1106" t="s">
        <v>370</v>
      </c>
      <c r="G42" s="1106" t="str">
        <f>IF(AND(E7=Validation!H68,OR(E11=Validation!H73,E11=Validation!H74,E11=Validation!H77)),"Less than 3mg/l NO₂-N","Less than 2mg/l NO₂-N")</f>
        <v>Less than 2mg/l NO₂-N</v>
      </c>
      <c r="H42" s="1106" t="str">
        <f>IF(AND(E7=Validation!H68,OR(E11=Validation!H73,E11=Validation!H74,E11=Validation!H77)),"Less than 2 mg/L NH₃-N","Less than 1 mg/L NH₃-N")</f>
        <v>Less than 1 mg/L NH₃-N</v>
      </c>
      <c r="K42" s="28"/>
      <c r="L42" s="32"/>
      <c r="M42" s="28"/>
    </row>
    <row r="43" spans="2:13" ht="12.75" thickBot="1">
      <c r="B43" s="21"/>
      <c r="F43" s="1107"/>
      <c r="G43" s="1107"/>
      <c r="H43" s="1107"/>
      <c r="K43" s="28"/>
      <c r="L43" s="32"/>
      <c r="M43" s="28"/>
    </row>
    <row r="44" spans="2:13" ht="15.75">
      <c r="B44" s="21"/>
      <c r="F44" s="254"/>
      <c r="G44" s="254"/>
      <c r="H44" s="254"/>
      <c r="I44" s="254"/>
      <c r="K44" s="28"/>
      <c r="L44" s="32"/>
      <c r="M44" s="28"/>
    </row>
    <row r="45" spans="2:13" ht="16.5" thickBot="1">
      <c r="B45" s="21"/>
      <c r="F45" s="254"/>
      <c r="G45" s="1097" t="s">
        <v>594</v>
      </c>
      <c r="H45" s="1097"/>
      <c r="I45" s="254"/>
      <c r="K45" s="28"/>
      <c r="L45" s="32"/>
      <c r="M45" s="28"/>
    </row>
    <row r="46" spans="2:13" ht="51" customHeight="1" thickBot="1">
      <c r="B46" s="21"/>
      <c r="F46" s="254"/>
      <c r="G46" s="1100" t="str">
        <f>IF(E7=Validation!H66,"GUPPIES, SWORDTAILS,PLATYS &amp; MOLLIES",IF(E7=Validation!H67,"ANGELS, ANCISTRUS CATFISH, TANGANYIKAN CICHLIDS, SOUTH AMERICAN CICHLIDS &amp; CORYDORAS CATFISH",IF(E7=Validation!H68,"GOLDFISH, KOI, GOURAMIS, TETRAS'S,BARBS &amp; DANIOS",IF(E7=Validation!H69,"MALAWI CICHLIDS"," "))))</f>
        <v xml:space="preserve"> </v>
      </c>
      <c r="H46" s="1101"/>
      <c r="I46" s="254"/>
      <c r="K46" s="28"/>
      <c r="L46" s="32"/>
      <c r="M46" s="28"/>
    </row>
    <row r="47" spans="2:13" ht="15.75">
      <c r="B47" s="21"/>
      <c r="F47" s="254"/>
      <c r="G47" s="254"/>
      <c r="H47" s="254"/>
      <c r="I47" s="254"/>
      <c r="K47" s="28"/>
      <c r="L47" s="32"/>
      <c r="M47" s="28"/>
    </row>
    <row r="48" spans="2:13">
      <c r="B48" s="21"/>
      <c r="C48" s="28"/>
      <c r="D48" s="28"/>
      <c r="E48" s="28"/>
      <c r="F48" s="1102" t="s">
        <v>328</v>
      </c>
      <c r="G48" s="1102"/>
      <c r="H48" s="1102"/>
      <c r="I48" s="1102"/>
      <c r="J48" s="28"/>
      <c r="K48" s="28"/>
      <c r="L48" s="32"/>
      <c r="M48" s="28"/>
    </row>
    <row r="49" spans="1:21">
      <c r="B49" s="21"/>
      <c r="C49" s="28"/>
      <c r="D49" s="28"/>
      <c r="E49" s="28"/>
      <c r="F49" s="1102"/>
      <c r="G49" s="1102"/>
      <c r="H49" s="1102"/>
      <c r="I49" s="1102"/>
      <c r="J49" s="28"/>
      <c r="K49" s="28"/>
      <c r="L49" s="32"/>
      <c r="M49" s="28"/>
    </row>
    <row r="50" spans="1:21">
      <c r="B50" s="21"/>
      <c r="C50" s="21"/>
      <c r="D50" s="21"/>
      <c r="E50" s="21"/>
      <c r="F50" s="21"/>
      <c r="G50" s="21"/>
      <c r="H50" s="21"/>
      <c r="I50" s="21"/>
      <c r="J50" s="21"/>
      <c r="K50" s="21"/>
      <c r="L50" s="32"/>
      <c r="M50" s="28"/>
    </row>
    <row r="51" spans="1:21">
      <c r="A51" s="43"/>
      <c r="M51" s="28"/>
    </row>
    <row r="52" spans="1:21">
      <c r="M52" s="28"/>
    </row>
    <row r="53" spans="1:21">
      <c r="M53" s="28"/>
    </row>
    <row r="54" spans="1:21">
      <c r="M54" s="28"/>
    </row>
    <row r="59" spans="1:21">
      <c r="U59" s="28"/>
    </row>
  </sheetData>
  <mergeCells count="14">
    <mergeCell ref="G45:H45"/>
    <mergeCell ref="G20:H21"/>
    <mergeCell ref="G8:H8"/>
    <mergeCell ref="G46:H46"/>
    <mergeCell ref="F48:I49"/>
    <mergeCell ref="E32:F32"/>
    <mergeCell ref="E31:F31"/>
    <mergeCell ref="H42:H43"/>
    <mergeCell ref="F37:F38"/>
    <mergeCell ref="H37:H38"/>
    <mergeCell ref="F42:F43"/>
    <mergeCell ref="G42:G43"/>
    <mergeCell ref="G37:G38"/>
    <mergeCell ref="I37:I38"/>
  </mergeCells>
  <conditionalFormatting sqref="E20:E22">
    <cfRule type="containsText" dxfId="53" priority="49" operator="containsText" text="No established/existing market for this portion size is available">
      <formula>NOT(ISERROR(SEARCH("No established/existing market for this portion size is available",E20)))</formula>
    </cfRule>
  </conditionalFormatting>
  <conditionalFormatting sqref="F17">
    <cfRule type="containsText" dxfId="52" priority="44" operator="containsText" text="If facility already exists, please change this option to YES">
      <formula>NOT(ISERROR(SEARCH("If facility already exists, please change this option to YES",F17)))</formula>
    </cfRule>
  </conditionalFormatting>
  <conditionalFormatting sqref="I16">
    <cfRule type="expression" dxfId="51" priority="42">
      <formula>$H$16="Equity"</formula>
    </cfRule>
    <cfRule type="expression" dxfId="50" priority="43">
      <formula>$H$16="Debt"</formula>
    </cfRule>
  </conditionalFormatting>
  <conditionalFormatting sqref="F19">
    <cfRule type="expression" dxfId="49" priority="36">
      <formula>$G$7="Pond culture"</formula>
    </cfRule>
    <cfRule type="expression" dxfId="48" priority="37">
      <formula>$G$7="Cage culture"</formula>
    </cfRule>
  </conditionalFormatting>
  <conditionalFormatting sqref="G20">
    <cfRule type="containsText" dxfId="47" priority="13" operator="containsText" text="RAS may work in northern extremity of KZN (near the border) without greenhouse tunnels, but even then reduces the growth period by four months  in winter when water temperatures are down to 17 degrees C">
      <formula>NOT(ISERROR(SEARCH("RAS may work in northern extremity of KZN (near the border) without greenhouse tunnels, but even then reduces the growth period by four months  in winter when water temperatures are down to 17 degrees C",G20)))</formula>
    </cfRule>
  </conditionalFormatting>
  <conditionalFormatting sqref="F20">
    <cfRule type="containsText" dxfId="46" priority="1" operator="containsText" text="No established/existing market for this portion size is available">
      <formula>NOT(ISERROR(SEARCH("No established/existing market for this portion size is available",F20)))</formula>
    </cfRule>
  </conditionalFormatting>
  <pageMargins left="0.7" right="0.7" top="0.75" bottom="0.75" header="0.3" footer="0.3"/>
  <pageSetup paperSize="9" orientation="portrait" r:id="rId1"/>
  <ignoredErrors>
    <ignoredError sqref="E28:I28 I37 H32 F32:G32 J32" unlockedFormula="1"/>
  </ignoredErrors>
  <drawing r:id="rId2"/>
  <extLst>
    <ext xmlns:x14="http://schemas.microsoft.com/office/spreadsheetml/2009/9/main" uri="{CCE6A557-97BC-4b89-ADB6-D9C93CAAB3DF}">
      <x14:dataValidations xmlns:xm="http://schemas.microsoft.com/office/excel/2006/main" xWindow="434" yWindow="500" count="18">
        <x14:dataValidation type="list" allowBlank="1" showInputMessage="1" showErrorMessage="1" prompt="Please select the province in which you will be producing." xr:uid="{00000000-0002-0000-0000-000002000000}">
          <x14:formula1>
            <xm:f>Validation!$D$13:$D$22</xm:f>
          </x14:formula1>
          <xm:sqref>F7</xm:sqref>
        </x14:dataValidation>
        <x14:dataValidation type="list" allowBlank="1" showInputMessage="1" showErrorMessage="1" prompt="Start-Up: No existing infrastructure_x000a_Existing: Established Business/Facility_x000a_" xr:uid="{00000000-0002-0000-0000-000005000000}">
          <x14:formula1>
            <xm:f>Validation!$H$8:$H$10</xm:f>
          </x14:formula1>
          <xm:sqref>E16</xm:sqref>
        </x14:dataValidation>
        <x14:dataValidation type="list" allowBlank="1" showInputMessage="1" showErrorMessage="1" prompt="Do you have private financial support/backing? " xr:uid="{00000000-0002-0000-0000-000008000000}">
          <x14:formula1>
            <xm:f>Validation!$H$14:$H$16</xm:f>
          </x14:formula1>
          <xm:sqref>G16</xm:sqref>
        </x14:dataValidation>
        <x14:dataValidation type="list" allowBlank="1" showInputMessage="1" showErrorMessage="1" prompt="Please Select" xr:uid="{534E7C33-32D4-47EF-B819-728B0DC419E7}">
          <x14:formula1>
            <xm:f>Validation!$D$26:$D$28</xm:f>
          </x14:formula1>
          <xm:sqref>I20:I22</xm:sqref>
        </x14:dataValidation>
        <x14:dataValidation type="list" allowBlank="1" showInputMessage="1" showErrorMessage="1" prompt="Do you have a farm available currently?" xr:uid="{B84FF1F8-267A-4E77-807D-45DC9601E863}">
          <x14:formula1>
            <xm:f>Validation!$F$21:$F$23</xm:f>
          </x14:formula1>
          <xm:sqref>F16</xm:sqref>
        </x14:dataValidation>
        <x14:dataValidation type="list" allowBlank="1" showInputMessage="1" showErrorMessage="1" prompt="Are you going to be financing from:_x000a_~Debt (Financial institution),_x000a_~Equity (Own funding), or_x000a_~Debt/Equity (provide a portion of your own funding)" xr:uid="{773F9077-C35E-492D-8E73-8F91867529E1}">
          <x14:formula1>
            <xm:f>Validation!$D$26:$D$29</xm:f>
          </x14:formula1>
          <xm:sqref>H16</xm:sqref>
        </x14:dataValidation>
        <x14:dataValidation type="list" allowBlank="1" showInputMessage="1" showErrorMessage="1" prompt="Will you be applying a tunnel system for the RAS system?" xr:uid="{0EAD1068-0188-47DC-BAFC-D3E6F7BB7CD7}">
          <x14:formula1>
            <xm:f>Validation!$F$27:$F$29</xm:f>
          </x14:formula1>
          <xm:sqref>F19</xm:sqref>
        </x14:dataValidation>
        <x14:dataValidation type="list" allowBlank="1" showInputMessage="1" showErrorMessage="1" prompt="Will you be applying a tunnel to the RAS system?" xr:uid="{9D4CD9C0-729E-4234-9CAB-57CD52458B61}">
          <x14:formula1>
            <xm:f>Validation!$F$27:$F$29</xm:f>
          </x14:formula1>
          <xm:sqref>F19</xm:sqref>
        </x14:dataValidation>
        <x14:dataValidation type="list" allowBlank="1" showInputMessage="1" showErrorMessage="1" prompt="Do you have any prior experience/training in Aquaculture?" xr:uid="{09B5D70F-A150-4DBF-A0DD-47EB7965213C}">
          <x14:formula1>
            <xm:f>Validation!$F$12:$F$17</xm:f>
          </x14:formula1>
          <xm:sqref>G19</xm:sqref>
        </x14:dataValidation>
        <x14:dataValidation type="list" allowBlank="1" showInputMessage="1" showErrorMessage="1" xr:uid="{7458CA24-2DA9-4EA0-86FF-85B87DE1FCDE}">
          <x14:formula1>
            <xm:f>Validation!$H$42:$H$62</xm:f>
          </x14:formula1>
          <xm:sqref>I16</xm:sqref>
        </x14:dataValidation>
        <x14:dataValidation type="list" allowBlank="1" showInputMessage="1" showErrorMessage="1" prompt="Please select the payback period" xr:uid="{C58D2F37-05E0-41A7-9B00-EE3BBB7552E0}">
          <x14:formula1>
            <xm:f>Validation!$H$20:$H$40</xm:f>
          </x14:formula1>
          <xm:sqref>J28</xm:sqref>
        </x14:dataValidation>
        <x14:dataValidation type="list" allowBlank="1" showInputMessage="1" showErrorMessage="1" prompt="Please select the type of freshwater ornamental you will be producing based on breeding technique" xr:uid="{999AC910-8922-4066-ABEE-B5A3B5301D5A}">
          <x14:formula1>
            <xm:f>Validation!$H$65:$H$69</xm:f>
          </x14:formula1>
          <xm:sqref>E7</xm:sqref>
        </x14:dataValidation>
        <x14:dataValidation type="list" allowBlank="1" showDropDown="1" showInputMessage="1" showErrorMessage="1" prompt="Currently on the local market should be targeted by ornamental fish producers" xr:uid="{00000000-0002-0000-0000-000004000000}">
          <x14:formula1>
            <xm:f>Validation!$H$3</xm:f>
          </x14:formula1>
          <xm:sqref>H7</xm:sqref>
        </x14:dataValidation>
        <x14:dataValidation type="list" allowBlank="1" showInputMessage="1" showErrorMessage="1" prompt="Please select the system you will be using." xr:uid="{00000000-0002-0000-0000-000003000000}">
          <x14:formula1>
            <xm:f>Validation!$F$2:$F$5</xm:f>
          </x14:formula1>
          <xm:sqref>G7</xm:sqref>
        </x14:dataValidation>
        <x14:dataValidation type="list" allowBlank="1" showInputMessage="1" showErrorMessage="1" errorTitle="Invalid Input" prompt="Please select a selling price._x000a__x000a_" xr:uid="{D99B049F-94EB-4249-B931-1259ED6A2E61}">
          <x14:formula1>
            <xm:f>Validation!$F$54:$F$81</xm:f>
          </x14:formula1>
          <xm:sqref>I7</xm:sqref>
        </x14:dataValidation>
        <x14:dataValidation type="list" allowBlank="1" showInputMessage="1" showErrorMessage="1" errorTitle="Invalid Input" prompt="Please select the number of fish produced_x000a_" xr:uid="{00000000-0002-0000-0000-000000000000}">
          <x14:formula1>
            <xm:f>Validation!$B$2:$B$33</xm:f>
          </x14:formula1>
          <xm:sqref>J7</xm:sqref>
        </x14:dataValidation>
        <x14:dataValidation type="list" allowBlank="1" showInputMessage="1" showErrorMessage="1" xr:uid="{00000000-0002-0000-0000-000001000000}">
          <x14:formula1>
            <xm:f>Validation!$D$2:$D$9</xm:f>
          </x14:formula1>
          <xm:sqref>D8:D11</xm:sqref>
        </x14:dataValidation>
        <x14:dataValidation type="list" allowBlank="1" showDropDown="1" showInputMessage="1" showErrorMessage="1" prompt="Recommended grow-out" xr:uid="{E221090E-33F8-4CAC-A243-F13DF8A04090}">
          <x14:formula1>
            <xm:f>Validation!$D$37:$D$43</xm:f>
          </x14:formula1>
          <xm:sqref>E19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130EE-1288-4F1A-B6C2-B39DD99F5525}">
  <sheetPr codeName="Sheet41">
    <tabColor rgb="FF92D050"/>
  </sheetPr>
  <dimension ref="A1:O102"/>
  <sheetViews>
    <sheetView workbookViewId="0">
      <selection activeCell="C26" sqref="C26"/>
    </sheetView>
  </sheetViews>
  <sheetFormatPr defaultColWidth="9.140625" defaultRowHeight="15"/>
  <cols>
    <col min="1" max="1" width="3.28515625" style="44" customWidth="1"/>
    <col min="2" max="2" width="78.42578125" style="44" bestFit="1" customWidth="1"/>
    <col min="3" max="3" width="13" style="44" customWidth="1"/>
    <col min="4" max="4" width="16.28515625" style="44" customWidth="1"/>
    <col min="5" max="5" width="12.140625" style="44" bestFit="1" customWidth="1"/>
    <col min="6" max="16384" width="9.140625" style="44"/>
  </cols>
  <sheetData>
    <row r="1" spans="1:15" s="1176" customFormat="1">
      <c r="A1" s="1176" t="s">
        <v>437</v>
      </c>
    </row>
    <row r="2" spans="1:15" ht="15.75" thickBot="1"/>
    <row r="3" spans="1:15" ht="15.75" thickBot="1">
      <c r="B3" s="1195" t="s">
        <v>126</v>
      </c>
      <c r="C3" s="1197" t="s">
        <v>235</v>
      </c>
      <c r="D3" s="1199" t="s">
        <v>236</v>
      </c>
      <c r="E3" s="1201" t="s">
        <v>3</v>
      </c>
      <c r="F3" s="1192" t="s">
        <v>165</v>
      </c>
      <c r="G3" s="1193"/>
      <c r="H3" s="1193"/>
      <c r="I3" s="1193"/>
      <c r="J3" s="1193"/>
      <c r="K3" s="1193"/>
      <c r="L3" s="1193"/>
      <c r="M3" s="1193"/>
      <c r="N3" s="1193"/>
      <c r="O3" s="1194"/>
    </row>
    <row r="4" spans="1:15" ht="15.75" thickBot="1">
      <c r="B4" s="1196"/>
      <c r="C4" s="1198"/>
      <c r="D4" s="1200"/>
      <c r="E4" s="1202"/>
      <c r="F4" s="395">
        <v>1</v>
      </c>
      <c r="G4" s="396">
        <f>F4+1</f>
        <v>2</v>
      </c>
      <c r="H4" s="396">
        <f t="shared" ref="H4:O4" si="0">G4+1</f>
        <v>3</v>
      </c>
      <c r="I4" s="396">
        <f t="shared" si="0"/>
        <v>4</v>
      </c>
      <c r="J4" s="396">
        <f t="shared" si="0"/>
        <v>5</v>
      </c>
      <c r="K4" s="396">
        <f t="shared" si="0"/>
        <v>6</v>
      </c>
      <c r="L4" s="396">
        <f t="shared" si="0"/>
        <v>7</v>
      </c>
      <c r="M4" s="396">
        <f t="shared" si="0"/>
        <v>8</v>
      </c>
      <c r="N4" s="396">
        <f t="shared" si="0"/>
        <v>9</v>
      </c>
      <c r="O4" s="397">
        <f t="shared" si="0"/>
        <v>10</v>
      </c>
    </row>
    <row r="5" spans="1:15" ht="15.75" thickBot="1">
      <c r="B5" s="202" t="s">
        <v>9</v>
      </c>
      <c r="C5" s="902"/>
      <c r="D5" s="908"/>
      <c r="E5" s="204"/>
      <c r="F5" s="202"/>
      <c r="G5" s="203"/>
      <c r="H5" s="203"/>
      <c r="I5" s="203"/>
      <c r="J5" s="203"/>
      <c r="K5" s="203"/>
      <c r="L5" s="203"/>
      <c r="M5" s="203"/>
      <c r="N5" s="203"/>
      <c r="O5" s="204"/>
    </row>
    <row r="6" spans="1:15">
      <c r="B6" s="205" t="str">
        <f>CAPEX!B6</f>
        <v>Hatchery (m²) - only for Egg Scatterers &amp; Substrate Spawners (excl Goldfish &amp; Koi)</v>
      </c>
      <c r="C6" s="899">
        <v>50</v>
      </c>
      <c r="D6" s="905">
        <f t="shared" ref="D6:D9" si="1">100%/C6</f>
        <v>0.02</v>
      </c>
      <c r="E6" s="208">
        <f>CAPEX!I6</f>
        <v>86400</v>
      </c>
      <c r="F6" s="209">
        <f t="shared" ref="F6:F9" si="2">E6*D6</f>
        <v>1728</v>
      </c>
      <c r="G6" s="210">
        <f t="shared" ref="G6:G9" si="3">IF(G$4&lt;=$C6,F6,0)</f>
        <v>1728</v>
      </c>
      <c r="H6" s="210">
        <f t="shared" ref="H6:O6" si="4">IF(H$4&lt;=$C6,G6,0)</f>
        <v>1728</v>
      </c>
      <c r="I6" s="210">
        <f t="shared" si="4"/>
        <v>1728</v>
      </c>
      <c r="J6" s="210">
        <f t="shared" si="4"/>
        <v>1728</v>
      </c>
      <c r="K6" s="210">
        <f t="shared" si="4"/>
        <v>1728</v>
      </c>
      <c r="L6" s="210">
        <f t="shared" si="4"/>
        <v>1728</v>
      </c>
      <c r="M6" s="210">
        <f t="shared" si="4"/>
        <v>1728</v>
      </c>
      <c r="N6" s="210">
        <f t="shared" si="4"/>
        <v>1728</v>
      </c>
      <c r="O6" s="211">
        <f t="shared" si="4"/>
        <v>1728</v>
      </c>
    </row>
    <row r="7" spans="1:15">
      <c r="B7" s="81" t="str">
        <f>CAPEX!B7</f>
        <v>Offices/Storage/Feed Room</v>
      </c>
      <c r="C7" s="900">
        <v>50</v>
      </c>
      <c r="D7" s="906">
        <f t="shared" si="1"/>
        <v>0.02</v>
      </c>
      <c r="E7" s="197">
        <f>CAPEX!I7</f>
        <v>180000</v>
      </c>
      <c r="F7" s="212">
        <f t="shared" si="2"/>
        <v>3600</v>
      </c>
      <c r="G7" s="213">
        <f t="shared" si="3"/>
        <v>3600</v>
      </c>
      <c r="H7" s="213">
        <f t="shared" ref="H7:O9" si="5">IF(H$4&lt;=$C7,G7,0)</f>
        <v>3600</v>
      </c>
      <c r="I7" s="213">
        <f t="shared" si="5"/>
        <v>3600</v>
      </c>
      <c r="J7" s="213">
        <f t="shared" si="5"/>
        <v>3600</v>
      </c>
      <c r="K7" s="213">
        <f t="shared" si="5"/>
        <v>3600</v>
      </c>
      <c r="L7" s="213">
        <f t="shared" si="5"/>
        <v>3600</v>
      </c>
      <c r="M7" s="213">
        <f t="shared" si="5"/>
        <v>3600</v>
      </c>
      <c r="N7" s="213">
        <f t="shared" si="5"/>
        <v>3600</v>
      </c>
      <c r="O7" s="214">
        <f t="shared" si="5"/>
        <v>3600</v>
      </c>
    </row>
    <row r="8" spans="1:15">
      <c r="B8" s="81" t="str">
        <f>CAPEX!B8</f>
        <v>Tunnels</v>
      </c>
      <c r="C8" s="900">
        <v>10</v>
      </c>
      <c r="D8" s="906">
        <f t="shared" si="1"/>
        <v>0.1</v>
      </c>
      <c r="E8" s="197" t="e">
        <f>CAPEX!I8</f>
        <v>#VALUE!</v>
      </c>
      <c r="F8" s="212" t="e">
        <f t="shared" si="2"/>
        <v>#VALUE!</v>
      </c>
      <c r="G8" s="213" t="e">
        <f t="shared" si="3"/>
        <v>#VALUE!</v>
      </c>
      <c r="H8" s="213" t="e">
        <f t="shared" si="5"/>
        <v>#VALUE!</v>
      </c>
      <c r="I8" s="213" t="e">
        <f t="shared" si="5"/>
        <v>#VALUE!</v>
      </c>
      <c r="J8" s="213" t="e">
        <f t="shared" si="5"/>
        <v>#VALUE!</v>
      </c>
      <c r="K8" s="213" t="e">
        <f t="shared" si="5"/>
        <v>#VALUE!</v>
      </c>
      <c r="L8" s="213" t="e">
        <f t="shared" si="5"/>
        <v>#VALUE!</v>
      </c>
      <c r="M8" s="213" t="e">
        <f t="shared" si="5"/>
        <v>#VALUE!</v>
      </c>
      <c r="N8" s="213" t="e">
        <f t="shared" si="5"/>
        <v>#VALUE!</v>
      </c>
      <c r="O8" s="214" t="e">
        <f t="shared" si="5"/>
        <v>#VALUE!</v>
      </c>
    </row>
    <row r="9" spans="1:15" s="236" customFormat="1" ht="15.75" thickBot="1">
      <c r="B9" s="206" t="str">
        <f>CAPEX!B9</f>
        <v>Packing Room</v>
      </c>
      <c r="C9" s="900">
        <v>50</v>
      </c>
      <c r="D9" s="906">
        <f t="shared" si="1"/>
        <v>0.02</v>
      </c>
      <c r="E9" s="198">
        <f>CAPEX!I9</f>
        <v>25250</v>
      </c>
      <c r="F9" s="215">
        <f t="shared" si="2"/>
        <v>505</v>
      </c>
      <c r="G9" s="216">
        <f t="shared" si="3"/>
        <v>505</v>
      </c>
      <c r="H9" s="216">
        <f t="shared" si="5"/>
        <v>505</v>
      </c>
      <c r="I9" s="216">
        <f t="shared" si="5"/>
        <v>505</v>
      </c>
      <c r="J9" s="216">
        <f t="shared" si="5"/>
        <v>505</v>
      </c>
      <c r="K9" s="216">
        <f t="shared" si="5"/>
        <v>505</v>
      </c>
      <c r="L9" s="216">
        <f t="shared" si="5"/>
        <v>505</v>
      </c>
      <c r="M9" s="216">
        <f t="shared" si="5"/>
        <v>505</v>
      </c>
      <c r="N9" s="216">
        <f t="shared" si="5"/>
        <v>505</v>
      </c>
      <c r="O9" s="217">
        <f t="shared" si="5"/>
        <v>505</v>
      </c>
    </row>
    <row r="10" spans="1:15" ht="15.75" thickBot="1">
      <c r="B10" s="202" t="s">
        <v>107</v>
      </c>
      <c r="C10" s="902"/>
      <c r="D10" s="908"/>
      <c r="E10" s="204"/>
      <c r="F10" s="223"/>
      <c r="G10" s="224"/>
      <c r="H10" s="224"/>
      <c r="I10" s="224"/>
      <c r="J10" s="224"/>
      <c r="K10" s="224"/>
      <c r="L10" s="224"/>
      <c r="M10" s="224"/>
      <c r="N10" s="224"/>
      <c r="O10" s="225"/>
    </row>
    <row r="11" spans="1:15">
      <c r="B11" s="205" t="str">
        <f>CAPEX!B14</f>
        <v>Grow-out containment number (m3)</v>
      </c>
      <c r="C11" s="899">
        <v>10</v>
      </c>
      <c r="D11" s="905">
        <f>100%/C11</f>
        <v>0.1</v>
      </c>
      <c r="E11" s="218" t="e">
        <f>CAPEX!I14</f>
        <v>#VALUE!</v>
      </c>
      <c r="F11" s="209" t="e">
        <f t="shared" ref="F11:F16" si="6">E11*D11</f>
        <v>#VALUE!</v>
      </c>
      <c r="G11" s="210" t="e">
        <f t="shared" ref="G11:G21" si="7">IF(G$4&lt;=$C11,F11,0)</f>
        <v>#VALUE!</v>
      </c>
      <c r="H11" s="210" t="e">
        <f t="shared" ref="H11:O11" si="8">IF(H$4&lt;=$C11,G11,0)</f>
        <v>#VALUE!</v>
      </c>
      <c r="I11" s="210" t="e">
        <f t="shared" si="8"/>
        <v>#VALUE!</v>
      </c>
      <c r="J11" s="210" t="e">
        <f t="shared" si="8"/>
        <v>#VALUE!</v>
      </c>
      <c r="K11" s="210" t="e">
        <f t="shared" si="8"/>
        <v>#VALUE!</v>
      </c>
      <c r="L11" s="210" t="e">
        <f t="shared" si="8"/>
        <v>#VALUE!</v>
      </c>
      <c r="M11" s="210" t="e">
        <f t="shared" si="8"/>
        <v>#VALUE!</v>
      </c>
      <c r="N11" s="210" t="e">
        <f t="shared" si="8"/>
        <v>#VALUE!</v>
      </c>
      <c r="O11" s="211" t="e">
        <f t="shared" si="8"/>
        <v>#VALUE!</v>
      </c>
    </row>
    <row r="12" spans="1:15">
      <c r="B12" s="81" t="str">
        <f>CAPEX!B15</f>
        <v>Water quality testing equipment</v>
      </c>
      <c r="C12" s="900">
        <v>7</v>
      </c>
      <c r="D12" s="906">
        <f t="shared" ref="D12:D21" si="9">100%/C12</f>
        <v>0.14285714285714285</v>
      </c>
      <c r="E12" s="219">
        <f>CAPEX!I15</f>
        <v>16500</v>
      </c>
      <c r="F12" s="212">
        <f t="shared" si="6"/>
        <v>2357.1428571428569</v>
      </c>
      <c r="G12" s="213">
        <f t="shared" si="7"/>
        <v>2357.1428571428569</v>
      </c>
      <c r="H12" s="213">
        <f t="shared" ref="H12:O12" si="10">IF(H$4&lt;=$C12,G12,0)</f>
        <v>2357.1428571428569</v>
      </c>
      <c r="I12" s="213">
        <f t="shared" si="10"/>
        <v>2357.1428571428569</v>
      </c>
      <c r="J12" s="213">
        <f t="shared" si="10"/>
        <v>2357.1428571428569</v>
      </c>
      <c r="K12" s="213">
        <f t="shared" si="10"/>
        <v>2357.1428571428569</v>
      </c>
      <c r="L12" s="213">
        <f t="shared" si="10"/>
        <v>2357.1428571428569</v>
      </c>
      <c r="M12" s="213">
        <f t="shared" si="10"/>
        <v>0</v>
      </c>
      <c r="N12" s="213">
        <f t="shared" si="10"/>
        <v>0</v>
      </c>
      <c r="O12" s="214">
        <f t="shared" si="10"/>
        <v>0</v>
      </c>
    </row>
    <row r="13" spans="1:15">
      <c r="B13" s="81" t="str">
        <f>CAPEX!B16</f>
        <v>Water Pumps</v>
      </c>
      <c r="C13" s="900">
        <v>4</v>
      </c>
      <c r="D13" s="906">
        <f t="shared" si="9"/>
        <v>0.25</v>
      </c>
      <c r="E13" s="219" t="e">
        <f>CAPEX!I16</f>
        <v>#VALUE!</v>
      </c>
      <c r="F13" s="212" t="e">
        <f t="shared" si="6"/>
        <v>#VALUE!</v>
      </c>
      <c r="G13" s="213" t="e">
        <f t="shared" si="7"/>
        <v>#VALUE!</v>
      </c>
      <c r="H13" s="213" t="e">
        <f t="shared" ref="H13:O13" si="11">IF(H$4&lt;=$C13,G13,0)</f>
        <v>#VALUE!</v>
      </c>
      <c r="I13" s="213" t="e">
        <f t="shared" si="11"/>
        <v>#VALUE!</v>
      </c>
      <c r="J13" s="213">
        <f t="shared" si="11"/>
        <v>0</v>
      </c>
      <c r="K13" s="213">
        <f t="shared" si="11"/>
        <v>0</v>
      </c>
      <c r="L13" s="213">
        <f t="shared" si="11"/>
        <v>0</v>
      </c>
      <c r="M13" s="213">
        <f t="shared" si="11"/>
        <v>0</v>
      </c>
      <c r="N13" s="213">
        <f t="shared" si="11"/>
        <v>0</v>
      </c>
      <c r="O13" s="214">
        <f t="shared" si="11"/>
        <v>0</v>
      </c>
    </row>
    <row r="14" spans="1:15">
      <c r="B14" s="81" t="str">
        <f>CAPEX!B18</f>
        <v>Biofilter Tanks</v>
      </c>
      <c r="C14" s="900">
        <v>10</v>
      </c>
      <c r="D14" s="906">
        <f t="shared" si="9"/>
        <v>0.1</v>
      </c>
      <c r="E14" s="219" t="e">
        <f>CAPEX!I18</f>
        <v>#VALUE!</v>
      </c>
      <c r="F14" s="212" t="e">
        <f t="shared" si="6"/>
        <v>#VALUE!</v>
      </c>
      <c r="G14" s="213" t="e">
        <f t="shared" si="7"/>
        <v>#VALUE!</v>
      </c>
      <c r="H14" s="213" t="e">
        <f t="shared" ref="H14:O15" si="12">IF(H$4&lt;=$C14,G14,0)</f>
        <v>#VALUE!</v>
      </c>
      <c r="I14" s="213" t="e">
        <f t="shared" si="12"/>
        <v>#VALUE!</v>
      </c>
      <c r="J14" s="213" t="e">
        <f t="shared" si="12"/>
        <v>#VALUE!</v>
      </c>
      <c r="K14" s="213" t="e">
        <f t="shared" si="12"/>
        <v>#VALUE!</v>
      </c>
      <c r="L14" s="213" t="e">
        <f t="shared" si="12"/>
        <v>#VALUE!</v>
      </c>
      <c r="M14" s="213" t="e">
        <f t="shared" si="12"/>
        <v>#VALUE!</v>
      </c>
      <c r="N14" s="213" t="e">
        <f t="shared" si="12"/>
        <v>#VALUE!</v>
      </c>
      <c r="O14" s="214" t="e">
        <f t="shared" si="12"/>
        <v>#VALUE!</v>
      </c>
    </row>
    <row r="15" spans="1:15" s="236" customFormat="1">
      <c r="B15" s="81" t="str">
        <f>CAPEX!B19</f>
        <v>Biofilter Media</v>
      </c>
      <c r="C15" s="900">
        <v>5</v>
      </c>
      <c r="D15" s="906">
        <f t="shared" si="9"/>
        <v>0.2</v>
      </c>
      <c r="E15" s="219" t="e">
        <f>CAPEX!I19</f>
        <v>#VALUE!</v>
      </c>
      <c r="F15" s="212" t="e">
        <f t="shared" si="6"/>
        <v>#VALUE!</v>
      </c>
      <c r="G15" s="213" t="e">
        <f t="shared" si="7"/>
        <v>#VALUE!</v>
      </c>
      <c r="H15" s="213" t="e">
        <f t="shared" si="12"/>
        <v>#VALUE!</v>
      </c>
      <c r="I15" s="213" t="e">
        <f t="shared" si="12"/>
        <v>#VALUE!</v>
      </c>
      <c r="J15" s="213" t="e">
        <f t="shared" si="12"/>
        <v>#VALUE!</v>
      </c>
      <c r="K15" s="213">
        <f t="shared" si="12"/>
        <v>0</v>
      </c>
      <c r="L15" s="213">
        <f t="shared" si="12"/>
        <v>0</v>
      </c>
      <c r="M15" s="213">
        <f t="shared" si="12"/>
        <v>0</v>
      </c>
      <c r="N15" s="213">
        <f t="shared" si="12"/>
        <v>0</v>
      </c>
      <c r="O15" s="214">
        <f t="shared" si="12"/>
        <v>0</v>
      </c>
    </row>
    <row r="16" spans="1:15">
      <c r="B16" s="81" t="str">
        <f>CAPEX!B20</f>
        <v>Heating equipment</v>
      </c>
      <c r="C16" s="900">
        <v>6</v>
      </c>
      <c r="D16" s="906">
        <f t="shared" si="9"/>
        <v>0.16666666666666666</v>
      </c>
      <c r="E16" s="219">
        <f>CAPEX!I20</f>
        <v>0</v>
      </c>
      <c r="F16" s="212">
        <f t="shared" si="6"/>
        <v>0</v>
      </c>
      <c r="G16" s="213">
        <f t="shared" si="7"/>
        <v>0</v>
      </c>
      <c r="H16" s="213">
        <f t="shared" ref="H16:O21" si="13">IF(H$4&lt;=$C16,G16,0)</f>
        <v>0</v>
      </c>
      <c r="I16" s="213">
        <f t="shared" si="13"/>
        <v>0</v>
      </c>
      <c r="J16" s="213">
        <f t="shared" si="13"/>
        <v>0</v>
      </c>
      <c r="K16" s="213">
        <f t="shared" si="13"/>
        <v>0</v>
      </c>
      <c r="L16" s="213">
        <f t="shared" si="13"/>
        <v>0</v>
      </c>
      <c r="M16" s="213">
        <f t="shared" si="13"/>
        <v>0</v>
      </c>
      <c r="N16" s="213">
        <f t="shared" si="13"/>
        <v>0</v>
      </c>
      <c r="O16" s="214">
        <f t="shared" si="13"/>
        <v>0</v>
      </c>
    </row>
    <row r="17" spans="2:15">
      <c r="B17" s="81" t="str">
        <f>CAPEX!B21</f>
        <v>Standby generator</v>
      </c>
      <c r="C17" s="900">
        <v>5</v>
      </c>
      <c r="D17" s="906">
        <f t="shared" si="9"/>
        <v>0.2</v>
      </c>
      <c r="E17" s="219">
        <f>CAPEX!I21</f>
        <v>160000</v>
      </c>
      <c r="F17" s="212">
        <f>E17*D17</f>
        <v>32000</v>
      </c>
      <c r="G17" s="213">
        <f t="shared" si="7"/>
        <v>32000</v>
      </c>
      <c r="H17" s="213">
        <f t="shared" si="13"/>
        <v>32000</v>
      </c>
      <c r="I17" s="213">
        <f t="shared" si="13"/>
        <v>32000</v>
      </c>
      <c r="J17" s="213">
        <f t="shared" si="13"/>
        <v>32000</v>
      </c>
      <c r="K17" s="213">
        <f t="shared" si="13"/>
        <v>0</v>
      </c>
      <c r="L17" s="213">
        <f t="shared" si="13"/>
        <v>0</v>
      </c>
      <c r="M17" s="213">
        <f t="shared" si="13"/>
        <v>0</v>
      </c>
      <c r="N17" s="213">
        <f t="shared" si="13"/>
        <v>0</v>
      </c>
      <c r="O17" s="214">
        <f t="shared" si="13"/>
        <v>0</v>
      </c>
    </row>
    <row r="18" spans="2:15" s="236" customFormat="1">
      <c r="B18" s="81" t="str">
        <f>CAPEX!B22</f>
        <v>Glass tanks for Hatchery (only for Egg Scatterers &amp; Substrate Spawners (excl Goldfish &amp; Koi)</v>
      </c>
      <c r="C18" s="900">
        <v>4</v>
      </c>
      <c r="D18" s="906">
        <f t="shared" si="9"/>
        <v>0.25</v>
      </c>
      <c r="E18" s="219">
        <f>CAPEX!I22</f>
        <v>24000</v>
      </c>
      <c r="F18" s="212">
        <f>E18*D18</f>
        <v>6000</v>
      </c>
      <c r="G18" s="213">
        <f t="shared" si="7"/>
        <v>6000</v>
      </c>
      <c r="H18" s="213">
        <f t="shared" si="13"/>
        <v>6000</v>
      </c>
      <c r="I18" s="213">
        <f t="shared" si="13"/>
        <v>6000</v>
      </c>
      <c r="J18" s="213">
        <f t="shared" si="13"/>
        <v>0</v>
      </c>
      <c r="K18" s="213">
        <f t="shared" si="13"/>
        <v>0</v>
      </c>
      <c r="L18" s="213">
        <f t="shared" si="13"/>
        <v>0</v>
      </c>
      <c r="M18" s="213">
        <f t="shared" si="13"/>
        <v>0</v>
      </c>
      <c r="N18" s="213">
        <f t="shared" si="13"/>
        <v>0</v>
      </c>
      <c r="O18" s="214">
        <f t="shared" si="13"/>
        <v>0</v>
      </c>
    </row>
    <row r="19" spans="2:15" s="236" customFormat="1">
      <c r="B19" s="81" t="str">
        <f>CAPEX!B23</f>
        <v>Stands for Hatchery tanks (only for Egg Scatterers &amp; Substrate Spawners (excl Goldfish &amp; Koi)</v>
      </c>
      <c r="C19" s="900">
        <v>4</v>
      </c>
      <c r="D19" s="906">
        <f t="shared" si="9"/>
        <v>0.25</v>
      </c>
      <c r="E19" s="219">
        <f>CAPEX!I23</f>
        <v>48000</v>
      </c>
      <c r="F19" s="212">
        <f>E19*D19</f>
        <v>12000</v>
      </c>
      <c r="G19" s="213">
        <f t="shared" si="7"/>
        <v>12000</v>
      </c>
      <c r="H19" s="213">
        <f t="shared" si="13"/>
        <v>12000</v>
      </c>
      <c r="I19" s="213">
        <f t="shared" si="13"/>
        <v>12000</v>
      </c>
      <c r="J19" s="213">
        <f t="shared" si="13"/>
        <v>0</v>
      </c>
      <c r="K19" s="213">
        <f t="shared" si="13"/>
        <v>0</v>
      </c>
      <c r="L19" s="213">
        <f t="shared" si="13"/>
        <v>0</v>
      </c>
      <c r="M19" s="213">
        <f t="shared" si="13"/>
        <v>0</v>
      </c>
      <c r="N19" s="213">
        <f t="shared" si="13"/>
        <v>0</v>
      </c>
      <c r="O19" s="214">
        <f t="shared" si="13"/>
        <v>0</v>
      </c>
    </row>
    <row r="20" spans="2:15" s="236" customFormat="1">
      <c r="B20" s="81" t="str">
        <f>CAPEX!B24</f>
        <v>Piping and fittings - Hatchery (only for Egg Scatterers &amp; Substrate Spawners (excl Goldfish &amp; Koi)</v>
      </c>
      <c r="C20" s="900">
        <v>4</v>
      </c>
      <c r="D20" s="906">
        <f t="shared" si="9"/>
        <v>0.25</v>
      </c>
      <c r="E20" s="219">
        <f>CAPEX!I24</f>
        <v>10000</v>
      </c>
      <c r="F20" s="212">
        <f>E20*D20</f>
        <v>2500</v>
      </c>
      <c r="G20" s="213">
        <f t="shared" si="7"/>
        <v>2500</v>
      </c>
      <c r="H20" s="213">
        <f t="shared" si="13"/>
        <v>2500</v>
      </c>
      <c r="I20" s="213">
        <f t="shared" si="13"/>
        <v>2500</v>
      </c>
      <c r="J20" s="213">
        <f t="shared" si="13"/>
        <v>0</v>
      </c>
      <c r="K20" s="213">
        <f t="shared" si="13"/>
        <v>0</v>
      </c>
      <c r="L20" s="213">
        <f t="shared" si="13"/>
        <v>0</v>
      </c>
      <c r="M20" s="213">
        <f t="shared" si="13"/>
        <v>0</v>
      </c>
      <c r="N20" s="213">
        <f t="shared" si="13"/>
        <v>0</v>
      </c>
      <c r="O20" s="214">
        <f t="shared" si="13"/>
        <v>0</v>
      </c>
    </row>
    <row r="21" spans="2:15" s="236" customFormat="1" ht="15.75" thickBot="1">
      <c r="B21" s="81" t="str">
        <f>CAPEX!B25</f>
        <v>Heating/Cooling - Hatchery (only for Egg Scatterers &amp; Substrate Spawners (excl Goldfish &amp; Koi)</v>
      </c>
      <c r="C21" s="900">
        <v>6</v>
      </c>
      <c r="D21" s="906">
        <f t="shared" si="9"/>
        <v>0.16666666666666666</v>
      </c>
      <c r="E21" s="219">
        <f>CAPEX!I25</f>
        <v>15000</v>
      </c>
      <c r="F21" s="212">
        <f>E21*D21</f>
        <v>2500</v>
      </c>
      <c r="G21" s="213">
        <f t="shared" si="7"/>
        <v>2500</v>
      </c>
      <c r="H21" s="213">
        <f t="shared" si="13"/>
        <v>2500</v>
      </c>
      <c r="I21" s="213">
        <f t="shared" si="13"/>
        <v>2500</v>
      </c>
      <c r="J21" s="213">
        <f t="shared" si="13"/>
        <v>2500</v>
      </c>
      <c r="K21" s="213">
        <f t="shared" si="13"/>
        <v>2500</v>
      </c>
      <c r="L21" s="213">
        <f t="shared" si="13"/>
        <v>0</v>
      </c>
      <c r="M21" s="213">
        <f t="shared" si="13"/>
        <v>0</v>
      </c>
      <c r="N21" s="213">
        <f t="shared" si="13"/>
        <v>0</v>
      </c>
      <c r="O21" s="214">
        <f t="shared" si="13"/>
        <v>0</v>
      </c>
    </row>
    <row r="22" spans="2:15" ht="15.75" thickBot="1">
      <c r="B22" s="202" t="s">
        <v>108</v>
      </c>
      <c r="C22" s="902"/>
      <c r="D22" s="908"/>
      <c r="E22" s="204"/>
      <c r="F22" s="223"/>
      <c r="G22" s="224"/>
      <c r="H22" s="224"/>
      <c r="I22" s="224"/>
      <c r="J22" s="224"/>
      <c r="K22" s="224"/>
      <c r="L22" s="224"/>
      <c r="M22" s="224"/>
      <c r="N22" s="224"/>
      <c r="O22" s="225"/>
    </row>
    <row r="23" spans="2:15">
      <c r="B23" s="205" t="str">
        <f>CAPEX!B27</f>
        <v>Buckets/Drums</v>
      </c>
      <c r="C23" s="899">
        <v>7</v>
      </c>
      <c r="D23" s="905">
        <f t="shared" ref="D23:D28" si="14">100%/C23</f>
        <v>0.14285714285714285</v>
      </c>
      <c r="E23" s="218" t="e">
        <f>CAPEX!I27</f>
        <v>#VALUE!</v>
      </c>
      <c r="F23" s="209" t="e">
        <f t="shared" ref="F23:F28" si="15">E23*D23</f>
        <v>#VALUE!</v>
      </c>
      <c r="G23" s="210" t="e">
        <f>IF(G$4&lt;=$C23,F23,0)</f>
        <v>#VALUE!</v>
      </c>
      <c r="H23" s="210" t="e">
        <f t="shared" ref="H23:O23" si="16">IF(H$4&lt;=$C23,G23,0)</f>
        <v>#VALUE!</v>
      </c>
      <c r="I23" s="210" t="e">
        <f t="shared" si="16"/>
        <v>#VALUE!</v>
      </c>
      <c r="J23" s="210" t="e">
        <f t="shared" si="16"/>
        <v>#VALUE!</v>
      </c>
      <c r="K23" s="210" t="e">
        <f t="shared" si="16"/>
        <v>#VALUE!</v>
      </c>
      <c r="L23" s="210" t="e">
        <f t="shared" si="16"/>
        <v>#VALUE!</v>
      </c>
      <c r="M23" s="210">
        <f t="shared" si="16"/>
        <v>0</v>
      </c>
      <c r="N23" s="210">
        <f t="shared" si="16"/>
        <v>0</v>
      </c>
      <c r="O23" s="211">
        <f t="shared" si="16"/>
        <v>0</v>
      </c>
    </row>
    <row r="24" spans="2:15">
      <c r="B24" s="81" t="str">
        <f>CAPEX!B28</f>
        <v>Water storage tank (m3)</v>
      </c>
      <c r="C24" s="900">
        <v>6</v>
      </c>
      <c r="D24" s="906">
        <f t="shared" si="14"/>
        <v>0.16666666666666666</v>
      </c>
      <c r="E24" s="219">
        <f>CAPEX!I28</f>
        <v>28000</v>
      </c>
      <c r="F24" s="212">
        <f t="shared" si="15"/>
        <v>4666.6666666666661</v>
      </c>
      <c r="G24" s="213">
        <f t="shared" ref="G24:O24" si="17">IF(G$4&lt;=$C24,F24,0)</f>
        <v>4666.6666666666661</v>
      </c>
      <c r="H24" s="213">
        <f t="shared" si="17"/>
        <v>4666.6666666666661</v>
      </c>
      <c r="I24" s="213">
        <f t="shared" si="17"/>
        <v>4666.6666666666661</v>
      </c>
      <c r="J24" s="213">
        <f t="shared" si="17"/>
        <v>4666.6666666666661</v>
      </c>
      <c r="K24" s="213">
        <f t="shared" si="17"/>
        <v>4666.6666666666661</v>
      </c>
      <c r="L24" s="213">
        <f t="shared" si="17"/>
        <v>0</v>
      </c>
      <c r="M24" s="213">
        <f t="shared" si="17"/>
        <v>0</v>
      </c>
      <c r="N24" s="213">
        <f t="shared" si="17"/>
        <v>0</v>
      </c>
      <c r="O24" s="214">
        <f t="shared" si="17"/>
        <v>0</v>
      </c>
    </row>
    <row r="25" spans="2:15">
      <c r="B25" s="81" t="str">
        <f>CAPEX!B29</f>
        <v>Office equipment</v>
      </c>
      <c r="C25" s="900">
        <v>4</v>
      </c>
      <c r="D25" s="906">
        <f t="shared" si="14"/>
        <v>0.25</v>
      </c>
      <c r="E25" s="219">
        <f>CAPEX!I29</f>
        <v>6000</v>
      </c>
      <c r="F25" s="212">
        <f t="shared" si="15"/>
        <v>1500</v>
      </c>
      <c r="G25" s="213">
        <f t="shared" ref="G25:O25" si="18">IF(G$4&lt;=$C25,F25,0)</f>
        <v>1500</v>
      </c>
      <c r="H25" s="213">
        <f t="shared" si="18"/>
        <v>1500</v>
      </c>
      <c r="I25" s="213">
        <f t="shared" si="18"/>
        <v>1500</v>
      </c>
      <c r="J25" s="213">
        <f t="shared" si="18"/>
        <v>0</v>
      </c>
      <c r="K25" s="213">
        <f t="shared" si="18"/>
        <v>0</v>
      </c>
      <c r="L25" s="213">
        <f t="shared" si="18"/>
        <v>0</v>
      </c>
      <c r="M25" s="213">
        <f t="shared" si="18"/>
        <v>0</v>
      </c>
      <c r="N25" s="213">
        <f t="shared" si="18"/>
        <v>0</v>
      </c>
      <c r="O25" s="214">
        <f t="shared" si="18"/>
        <v>0</v>
      </c>
    </row>
    <row r="26" spans="2:15">
      <c r="B26" s="81" t="str">
        <f>CAPEX!B30</f>
        <v>Short/long handle Hand net</v>
      </c>
      <c r="C26" s="900">
        <v>4</v>
      </c>
      <c r="D26" s="906">
        <f t="shared" si="14"/>
        <v>0.25</v>
      </c>
      <c r="E26" s="219" t="e">
        <f>CAPEX!I30</f>
        <v>#VALUE!</v>
      </c>
      <c r="F26" s="212" t="e">
        <f t="shared" si="15"/>
        <v>#VALUE!</v>
      </c>
      <c r="G26" s="213" t="e">
        <f t="shared" ref="G26:O26" si="19">IF(G$4&lt;=$C26,F26,0)</f>
        <v>#VALUE!</v>
      </c>
      <c r="H26" s="213" t="e">
        <f t="shared" si="19"/>
        <v>#VALUE!</v>
      </c>
      <c r="I26" s="213" t="e">
        <f t="shared" si="19"/>
        <v>#VALUE!</v>
      </c>
      <c r="J26" s="213">
        <f t="shared" si="19"/>
        <v>0</v>
      </c>
      <c r="K26" s="213">
        <f t="shared" si="19"/>
        <v>0</v>
      </c>
      <c r="L26" s="213">
        <f t="shared" si="19"/>
        <v>0</v>
      </c>
      <c r="M26" s="213">
        <f t="shared" si="19"/>
        <v>0</v>
      </c>
      <c r="N26" s="213">
        <f t="shared" si="19"/>
        <v>0</v>
      </c>
      <c r="O26" s="214">
        <f t="shared" si="19"/>
        <v>0</v>
      </c>
    </row>
    <row r="27" spans="2:15">
      <c r="B27" s="81" t="str">
        <f>CAPEX!B31</f>
        <v>Aerators (kW)</v>
      </c>
      <c r="C27" s="900">
        <v>20</v>
      </c>
      <c r="D27" s="906">
        <f t="shared" si="14"/>
        <v>0.05</v>
      </c>
      <c r="E27" s="219">
        <f>CAPEX!I31</f>
        <v>25000</v>
      </c>
      <c r="F27" s="212">
        <f t="shared" si="15"/>
        <v>1250</v>
      </c>
      <c r="G27" s="213">
        <f t="shared" ref="G27:O27" si="20">IF(G$4&lt;=$C27,F27,0)</f>
        <v>1250</v>
      </c>
      <c r="H27" s="213">
        <f t="shared" si="20"/>
        <v>1250</v>
      </c>
      <c r="I27" s="213">
        <f t="shared" si="20"/>
        <v>1250</v>
      </c>
      <c r="J27" s="213">
        <f t="shared" si="20"/>
        <v>1250</v>
      </c>
      <c r="K27" s="213">
        <f t="shared" si="20"/>
        <v>1250</v>
      </c>
      <c r="L27" s="213">
        <f t="shared" si="20"/>
        <v>1250</v>
      </c>
      <c r="M27" s="213">
        <f t="shared" si="20"/>
        <v>1250</v>
      </c>
      <c r="N27" s="213">
        <f t="shared" si="20"/>
        <v>1250</v>
      </c>
      <c r="O27" s="214">
        <f t="shared" si="20"/>
        <v>1250</v>
      </c>
    </row>
    <row r="28" spans="2:15" ht="15.75" thickBot="1">
      <c r="B28" s="206" t="str">
        <f>CAPEX!B32</f>
        <v>Vehicle</v>
      </c>
      <c r="C28" s="901">
        <v>4</v>
      </c>
      <c r="D28" s="907">
        <f t="shared" si="14"/>
        <v>0.25</v>
      </c>
      <c r="E28" s="220">
        <f>CAPEX!I32</f>
        <v>200000</v>
      </c>
      <c r="F28" s="215">
        <f t="shared" si="15"/>
        <v>50000</v>
      </c>
      <c r="G28" s="216">
        <f t="shared" ref="G28:O28" si="21">IF(G$4&lt;=$C28,F28,0)</f>
        <v>50000</v>
      </c>
      <c r="H28" s="216">
        <f t="shared" si="21"/>
        <v>50000</v>
      </c>
      <c r="I28" s="216">
        <f t="shared" si="21"/>
        <v>50000</v>
      </c>
      <c r="J28" s="216">
        <f t="shared" si="21"/>
        <v>0</v>
      </c>
      <c r="K28" s="216">
        <f t="shared" si="21"/>
        <v>0</v>
      </c>
      <c r="L28" s="216">
        <f t="shared" si="21"/>
        <v>0</v>
      </c>
      <c r="M28" s="216">
        <f t="shared" si="21"/>
        <v>0</v>
      </c>
      <c r="N28" s="216">
        <f t="shared" si="21"/>
        <v>0</v>
      </c>
      <c r="O28" s="217">
        <f t="shared" si="21"/>
        <v>0</v>
      </c>
    </row>
    <row r="29" spans="2:15" ht="15.75" thickBot="1">
      <c r="B29" s="83" t="s">
        <v>128</v>
      </c>
      <c r="C29" s="917"/>
      <c r="D29" s="917"/>
      <c r="E29" s="84" t="e">
        <f>SUM(E6:E28)</f>
        <v>#VALUE!</v>
      </c>
      <c r="F29" s="226" t="e">
        <f t="shared" ref="F29:O29" si="22">SUM(F6:F28)</f>
        <v>#VALUE!</v>
      </c>
      <c r="G29" s="226" t="e">
        <f t="shared" si="22"/>
        <v>#VALUE!</v>
      </c>
      <c r="H29" s="226" t="e">
        <f t="shared" si="22"/>
        <v>#VALUE!</v>
      </c>
      <c r="I29" s="226" t="e">
        <f t="shared" si="22"/>
        <v>#VALUE!</v>
      </c>
      <c r="J29" s="226" t="e">
        <f t="shared" si="22"/>
        <v>#VALUE!</v>
      </c>
      <c r="K29" s="226" t="e">
        <f t="shared" si="22"/>
        <v>#VALUE!</v>
      </c>
      <c r="L29" s="226" t="e">
        <f t="shared" si="22"/>
        <v>#VALUE!</v>
      </c>
      <c r="M29" s="226" t="e">
        <f t="shared" si="22"/>
        <v>#VALUE!</v>
      </c>
      <c r="N29" s="226" t="e">
        <f t="shared" si="22"/>
        <v>#VALUE!</v>
      </c>
      <c r="O29" s="227" t="e">
        <f t="shared" si="22"/>
        <v>#VALUE!</v>
      </c>
    </row>
    <row r="30" spans="2:15">
      <c r="B30" s="55"/>
    </row>
    <row r="31" spans="2:15">
      <c r="B31" s="55"/>
    </row>
    <row r="32" spans="2:15">
      <c r="B32" s="55"/>
    </row>
    <row r="33" spans="2:2">
      <c r="B33" s="55"/>
    </row>
    <row r="34" spans="2:2">
      <c r="B34" s="55"/>
    </row>
    <row r="35" spans="2:2">
      <c r="B35" s="55"/>
    </row>
    <row r="36" spans="2:2">
      <c r="B36" s="55"/>
    </row>
    <row r="37" spans="2:2">
      <c r="B37" s="55"/>
    </row>
    <row r="38" spans="2:2">
      <c r="B38" s="55"/>
    </row>
    <row r="39" spans="2:2">
      <c r="B39" s="55"/>
    </row>
    <row r="40" spans="2:2">
      <c r="B40" s="55"/>
    </row>
    <row r="41" spans="2:2">
      <c r="B41" s="55"/>
    </row>
    <row r="42" spans="2:2">
      <c r="B42" s="55"/>
    </row>
    <row r="43" spans="2:2">
      <c r="B43" s="55"/>
    </row>
    <row r="44" spans="2:2">
      <c r="B44" s="55"/>
    </row>
    <row r="45" spans="2:2">
      <c r="B45" s="55"/>
    </row>
    <row r="46" spans="2:2">
      <c r="B46" s="55"/>
    </row>
    <row r="47" spans="2:2">
      <c r="B47" s="55"/>
    </row>
    <row r="48" spans="2:2">
      <c r="B48" s="55"/>
    </row>
    <row r="49" spans="2:2">
      <c r="B49" s="55"/>
    </row>
    <row r="50" spans="2:2">
      <c r="B50" s="55"/>
    </row>
    <row r="51" spans="2:2">
      <c r="B51" s="55"/>
    </row>
    <row r="52" spans="2:2">
      <c r="B52" s="55"/>
    </row>
    <row r="53" spans="2:2">
      <c r="B53" s="55"/>
    </row>
    <row r="54" spans="2:2">
      <c r="B54" s="55"/>
    </row>
    <row r="55" spans="2:2">
      <c r="B55" s="55"/>
    </row>
    <row r="56" spans="2:2">
      <c r="B56" s="55"/>
    </row>
    <row r="57" spans="2:2">
      <c r="B57" s="55"/>
    </row>
    <row r="58" spans="2:2">
      <c r="B58" s="55"/>
    </row>
    <row r="59" spans="2:2">
      <c r="B59" s="55"/>
    </row>
    <row r="60" spans="2:2">
      <c r="B60" s="55"/>
    </row>
    <row r="61" spans="2:2">
      <c r="B61" s="55"/>
    </row>
    <row r="62" spans="2:2">
      <c r="B62" s="55"/>
    </row>
    <row r="63" spans="2:2">
      <c r="B63" s="55"/>
    </row>
    <row r="64" spans="2:2">
      <c r="B64" s="55"/>
    </row>
    <row r="65" spans="2:2">
      <c r="B65" s="55"/>
    </row>
    <row r="66" spans="2:2">
      <c r="B66" s="55"/>
    </row>
    <row r="67" spans="2:2">
      <c r="B67" s="55"/>
    </row>
    <row r="68" spans="2:2">
      <c r="B68" s="55"/>
    </row>
    <row r="69" spans="2:2">
      <c r="B69" s="55"/>
    </row>
    <row r="70" spans="2:2">
      <c r="B70" s="55"/>
    </row>
    <row r="71" spans="2:2">
      <c r="B71" s="55"/>
    </row>
    <row r="72" spans="2:2">
      <c r="B72" s="55"/>
    </row>
    <row r="73" spans="2:2">
      <c r="B73" s="55"/>
    </row>
    <row r="74" spans="2:2">
      <c r="B74" s="55"/>
    </row>
    <row r="75" spans="2:2">
      <c r="B75" s="55"/>
    </row>
    <row r="76" spans="2:2">
      <c r="B76" s="55"/>
    </row>
    <row r="77" spans="2:2">
      <c r="B77" s="55"/>
    </row>
    <row r="78" spans="2:2">
      <c r="B78" s="55"/>
    </row>
    <row r="79" spans="2:2">
      <c r="B79" s="55"/>
    </row>
    <row r="80" spans="2:2">
      <c r="B80" s="55"/>
    </row>
    <row r="81" spans="2:2">
      <c r="B81" s="55"/>
    </row>
    <row r="82" spans="2:2">
      <c r="B82" s="55"/>
    </row>
    <row r="83" spans="2:2">
      <c r="B83" s="55"/>
    </row>
    <row r="84" spans="2:2">
      <c r="B84" s="55"/>
    </row>
    <row r="85" spans="2:2">
      <c r="B85" s="55"/>
    </row>
    <row r="86" spans="2:2">
      <c r="B86" s="55"/>
    </row>
    <row r="87" spans="2:2">
      <c r="B87" s="55"/>
    </row>
    <row r="88" spans="2:2">
      <c r="B88" s="55"/>
    </row>
    <row r="89" spans="2:2">
      <c r="B89" s="55"/>
    </row>
    <row r="90" spans="2:2">
      <c r="B90" s="55"/>
    </row>
    <row r="91" spans="2:2">
      <c r="B91" s="55"/>
    </row>
    <row r="92" spans="2:2">
      <c r="B92" s="55"/>
    </row>
    <row r="93" spans="2:2">
      <c r="B93" s="55"/>
    </row>
    <row r="94" spans="2:2">
      <c r="B94" s="55"/>
    </row>
    <row r="95" spans="2:2">
      <c r="B95" s="55"/>
    </row>
    <row r="96" spans="2:2">
      <c r="B96" s="55"/>
    </row>
    <row r="97" spans="2:2">
      <c r="B97" s="55"/>
    </row>
    <row r="98" spans="2:2">
      <c r="B98" s="55"/>
    </row>
    <row r="99" spans="2:2">
      <c r="B99" s="55"/>
    </row>
    <row r="100" spans="2:2">
      <c r="B100" s="55"/>
    </row>
    <row r="101" spans="2:2">
      <c r="B101" s="55"/>
    </row>
    <row r="102" spans="2:2">
      <c r="B102" s="55"/>
    </row>
  </sheetData>
  <mergeCells count="6">
    <mergeCell ref="F3:O3"/>
    <mergeCell ref="A1:XFD1"/>
    <mergeCell ref="B3:B4"/>
    <mergeCell ref="C3:C4"/>
    <mergeCell ref="D3:D4"/>
    <mergeCell ref="E3:E4"/>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AA129-1D84-4859-A047-305040AD9BDF}">
  <sheetPr codeName="Sheet7">
    <tabColor rgb="FF92D050"/>
  </sheetPr>
  <dimension ref="A1:H256"/>
  <sheetViews>
    <sheetView workbookViewId="0">
      <selection sqref="A1:XFD1"/>
    </sheetView>
  </sheetViews>
  <sheetFormatPr defaultColWidth="9.140625" defaultRowHeight="12.75"/>
  <cols>
    <col min="1" max="1" width="17.5703125" style="762" bestFit="1" customWidth="1"/>
    <col min="2" max="2" width="17.42578125" style="762" bestFit="1" customWidth="1"/>
    <col min="3" max="3" width="13.140625" style="762" bestFit="1" customWidth="1"/>
    <col min="4" max="4" width="8.7109375" style="762" bestFit="1" customWidth="1"/>
    <col min="5" max="5" width="8" style="762" bestFit="1" customWidth="1"/>
    <col min="6" max="6" width="19.5703125" style="762" bestFit="1" customWidth="1"/>
    <col min="7" max="7" width="18.85546875" style="762" bestFit="1" customWidth="1"/>
    <col min="8" max="8" width="14.42578125" style="762" bestFit="1" customWidth="1"/>
    <col min="9" max="16384" width="9.140625" style="515"/>
  </cols>
  <sheetData>
    <row r="1" spans="1:8" s="1176" customFormat="1" ht="15">
      <c r="A1" s="1176" t="s">
        <v>438</v>
      </c>
    </row>
    <row r="3" spans="1:8" s="765" customFormat="1" ht="13.5" thickBot="1">
      <c r="A3" s="763" t="s">
        <v>69</v>
      </c>
      <c r="B3" s="764"/>
      <c r="C3" s="764"/>
      <c r="D3" s="764"/>
      <c r="E3" s="764"/>
      <c r="F3" s="764"/>
      <c r="G3" s="764"/>
      <c r="H3" s="764"/>
    </row>
    <row r="4" spans="1:8">
      <c r="A4" s="766" t="s">
        <v>70</v>
      </c>
      <c r="B4" s="767">
        <f>B10</f>
        <v>0</v>
      </c>
    </row>
    <row r="5" spans="1:8">
      <c r="A5" s="768" t="s">
        <v>71</v>
      </c>
      <c r="B5" s="769">
        <f>B11/12</f>
        <v>0</v>
      </c>
    </row>
    <row r="6" spans="1:8">
      <c r="A6" s="768" t="s">
        <v>72</v>
      </c>
      <c r="B6" s="770">
        <v>12</v>
      </c>
    </row>
    <row r="7" spans="1:8" ht="13.5" thickBot="1">
      <c r="A7" s="771" t="s">
        <v>73</v>
      </c>
      <c r="B7" s="772">
        <f>PMT(B5,B6,-B4)</f>
        <v>0</v>
      </c>
    </row>
    <row r="9" spans="1:8" s="765" customFormat="1" ht="13.5" thickBot="1">
      <c r="A9" s="1203" t="s">
        <v>74</v>
      </c>
      <c r="B9" s="1203"/>
      <c r="C9" s="764"/>
      <c r="D9" s="764"/>
      <c r="E9" s="764"/>
      <c r="F9" s="764"/>
      <c r="G9" s="764"/>
      <c r="H9" s="764"/>
    </row>
    <row r="10" spans="1:8">
      <c r="A10" s="766" t="s">
        <v>75</v>
      </c>
      <c r="B10" s="767">
        <f>IF(Interface!H16="DEBT",CAPEX!I33+'Working Capital - RAS'!C33, IF(Interface!H16="DEBT/EQUITY",(CAPEX!I33+'Working Capital - RAS'!C33)*Interface!I16,0))</f>
        <v>0</v>
      </c>
    </row>
    <row r="11" spans="1:8">
      <c r="A11" s="768" t="s">
        <v>76</v>
      </c>
      <c r="B11" s="769">
        <f>Interface!I28</f>
        <v>0</v>
      </c>
    </row>
    <row r="12" spans="1:8">
      <c r="A12" s="768" t="s">
        <v>19</v>
      </c>
      <c r="B12" s="770" t="e">
        <f>B13*12</f>
        <v>#VALUE!</v>
      </c>
    </row>
    <row r="13" spans="1:8" ht="26.25" thickBot="1">
      <c r="A13" s="771" t="s">
        <v>239</v>
      </c>
      <c r="B13" s="772" t="str">
        <f>Interface!J28</f>
        <v>&lt;Please select a payback period&gt;</v>
      </c>
    </row>
    <row r="14" spans="1:8">
      <c r="A14" s="766" t="s">
        <v>77</v>
      </c>
      <c r="B14" s="767" t="e">
        <f>ROUND(PMT($B$11/12,$B$12,-$B$10, 0),0)</f>
        <v>#VALUE!</v>
      </c>
      <c r="C14" s="773" t="e">
        <f>B14*12</f>
        <v>#VALUE!</v>
      </c>
    </row>
    <row r="15" spans="1:8" ht="13.5" thickBot="1"/>
    <row r="16" spans="1:8" ht="13.5" thickBot="1">
      <c r="A16" s="774" t="s">
        <v>78</v>
      </c>
      <c r="B16" s="774" t="s">
        <v>79</v>
      </c>
      <c r="C16" s="774" t="s">
        <v>80</v>
      </c>
      <c r="D16" s="774" t="s">
        <v>81</v>
      </c>
      <c r="E16" s="774" t="s">
        <v>82</v>
      </c>
      <c r="F16" s="774" t="s">
        <v>83</v>
      </c>
      <c r="G16" s="774" t="s">
        <v>84</v>
      </c>
      <c r="H16" s="774" t="s">
        <v>85</v>
      </c>
    </row>
    <row r="17" spans="1:8" ht="13.5" thickBot="1">
      <c r="A17" s="775">
        <v>1</v>
      </c>
      <c r="B17" s="776">
        <f>$B$10</f>
        <v>0</v>
      </c>
      <c r="C17" s="777" t="e">
        <f>$B$14</f>
        <v>#VALUE!</v>
      </c>
      <c r="D17" s="777" t="e">
        <f>$C17-$E17</f>
        <v>#VALUE!</v>
      </c>
      <c r="E17" s="776">
        <f>IF($B17*$B$5&gt;0,$B17*$B$5,0)</f>
        <v>0</v>
      </c>
      <c r="F17" s="778"/>
      <c r="G17" s="778"/>
      <c r="H17" s="776" t="e">
        <f>$B17-$D17</f>
        <v>#VALUE!</v>
      </c>
    </row>
    <row r="18" spans="1:8" ht="13.5" thickBot="1">
      <c r="A18" s="775">
        <v>2</v>
      </c>
      <c r="B18" s="776" t="e">
        <f>H17</f>
        <v>#VALUE!</v>
      </c>
      <c r="C18" s="777" t="e">
        <f t="shared" ref="C18:C81" si="0">$B$14</f>
        <v>#VALUE!</v>
      </c>
      <c r="D18" s="777" t="e">
        <f t="shared" ref="D18:D81" si="1">$C18-$E18</f>
        <v>#VALUE!</v>
      </c>
      <c r="E18" s="776" t="e">
        <f>IF($B18*$B$5&gt;0,$B18*$B$5,0)</f>
        <v>#VALUE!</v>
      </c>
      <c r="F18" s="778"/>
      <c r="G18" s="778"/>
      <c r="H18" s="776" t="e">
        <f t="shared" ref="H18:H81" si="2">$B18-$D18</f>
        <v>#VALUE!</v>
      </c>
    </row>
    <row r="19" spans="1:8" ht="13.5" thickBot="1">
      <c r="A19" s="775">
        <v>3</v>
      </c>
      <c r="B19" s="776" t="e">
        <f t="shared" ref="B19:B82" si="3">H18</f>
        <v>#VALUE!</v>
      </c>
      <c r="C19" s="777" t="e">
        <f t="shared" si="0"/>
        <v>#VALUE!</v>
      </c>
      <c r="D19" s="777" t="e">
        <f t="shared" si="1"/>
        <v>#VALUE!</v>
      </c>
      <c r="E19" s="776" t="e">
        <f>IF($B19*$B$5&gt;0,$B19*$B$5,0)</f>
        <v>#VALUE!</v>
      </c>
      <c r="F19" s="778"/>
      <c r="G19" s="778"/>
      <c r="H19" s="776" t="e">
        <f t="shared" si="2"/>
        <v>#VALUE!</v>
      </c>
    </row>
    <row r="20" spans="1:8" ht="13.5" thickBot="1">
      <c r="A20" s="775">
        <v>4</v>
      </c>
      <c r="B20" s="776" t="e">
        <f t="shared" si="3"/>
        <v>#VALUE!</v>
      </c>
      <c r="C20" s="777" t="e">
        <f t="shared" si="0"/>
        <v>#VALUE!</v>
      </c>
      <c r="D20" s="777" t="e">
        <f t="shared" si="1"/>
        <v>#VALUE!</v>
      </c>
      <c r="E20" s="776" t="e">
        <f>IF($B20*$B$5&gt;0,$B20*$B$5,0)</f>
        <v>#VALUE!</v>
      </c>
      <c r="F20" s="778"/>
      <c r="G20" s="778"/>
      <c r="H20" s="776" t="e">
        <f t="shared" si="2"/>
        <v>#VALUE!</v>
      </c>
    </row>
    <row r="21" spans="1:8" ht="13.5" thickBot="1">
      <c r="A21" s="775">
        <v>5</v>
      </c>
      <c r="B21" s="776" t="e">
        <f t="shared" si="3"/>
        <v>#VALUE!</v>
      </c>
      <c r="C21" s="777" t="e">
        <f t="shared" si="0"/>
        <v>#VALUE!</v>
      </c>
      <c r="D21" s="777" t="e">
        <f t="shared" si="1"/>
        <v>#VALUE!</v>
      </c>
      <c r="E21" s="776" t="e">
        <f>IF($B21*$B$5&gt;0,$B21*$B$5,0)</f>
        <v>#VALUE!</v>
      </c>
      <c r="F21" s="778"/>
      <c r="G21" s="778"/>
      <c r="H21" s="776" t="e">
        <f t="shared" si="2"/>
        <v>#VALUE!</v>
      </c>
    </row>
    <row r="22" spans="1:8" ht="13.5" thickBot="1">
      <c r="A22" s="775">
        <v>6</v>
      </c>
      <c r="B22" s="776" t="e">
        <f t="shared" si="3"/>
        <v>#VALUE!</v>
      </c>
      <c r="C22" s="777" t="e">
        <f t="shared" si="0"/>
        <v>#VALUE!</v>
      </c>
      <c r="D22" s="777" t="e">
        <f t="shared" si="1"/>
        <v>#VALUE!</v>
      </c>
      <c r="E22" s="776" t="e">
        <f t="shared" ref="E22:E85" si="4">IF($B22*$B$5&gt;0,$B22*$B$5,0)</f>
        <v>#VALUE!</v>
      </c>
      <c r="F22" s="778"/>
      <c r="G22" s="778"/>
      <c r="H22" s="776" t="e">
        <f t="shared" si="2"/>
        <v>#VALUE!</v>
      </c>
    </row>
    <row r="23" spans="1:8" ht="13.5" thickBot="1">
      <c r="A23" s="775">
        <v>7</v>
      </c>
      <c r="B23" s="776" t="e">
        <f t="shared" si="3"/>
        <v>#VALUE!</v>
      </c>
      <c r="C23" s="777" t="e">
        <f t="shared" si="0"/>
        <v>#VALUE!</v>
      </c>
      <c r="D23" s="777" t="e">
        <f t="shared" si="1"/>
        <v>#VALUE!</v>
      </c>
      <c r="E23" s="776" t="e">
        <f t="shared" si="4"/>
        <v>#VALUE!</v>
      </c>
      <c r="F23" s="778"/>
      <c r="G23" s="778"/>
      <c r="H23" s="776" t="e">
        <f t="shared" si="2"/>
        <v>#VALUE!</v>
      </c>
    </row>
    <row r="24" spans="1:8" ht="13.5" thickBot="1">
      <c r="A24" s="775">
        <v>8</v>
      </c>
      <c r="B24" s="776" t="e">
        <f t="shared" si="3"/>
        <v>#VALUE!</v>
      </c>
      <c r="C24" s="777" t="e">
        <f t="shared" si="0"/>
        <v>#VALUE!</v>
      </c>
      <c r="D24" s="777" t="e">
        <f t="shared" si="1"/>
        <v>#VALUE!</v>
      </c>
      <c r="E24" s="776" t="e">
        <f t="shared" si="4"/>
        <v>#VALUE!</v>
      </c>
      <c r="F24" s="778"/>
      <c r="G24" s="778"/>
      <c r="H24" s="776" t="e">
        <f t="shared" si="2"/>
        <v>#VALUE!</v>
      </c>
    </row>
    <row r="25" spans="1:8" ht="13.5" thickBot="1">
      <c r="A25" s="775">
        <v>9</v>
      </c>
      <c r="B25" s="776" t="e">
        <f t="shared" si="3"/>
        <v>#VALUE!</v>
      </c>
      <c r="C25" s="777" t="e">
        <f t="shared" si="0"/>
        <v>#VALUE!</v>
      </c>
      <c r="D25" s="777" t="e">
        <f t="shared" si="1"/>
        <v>#VALUE!</v>
      </c>
      <c r="E25" s="776" t="e">
        <f t="shared" si="4"/>
        <v>#VALUE!</v>
      </c>
      <c r="F25" s="778"/>
      <c r="G25" s="778"/>
      <c r="H25" s="776" t="e">
        <f t="shared" si="2"/>
        <v>#VALUE!</v>
      </c>
    </row>
    <row r="26" spans="1:8" ht="13.5" thickBot="1">
      <c r="A26" s="775">
        <v>10</v>
      </c>
      <c r="B26" s="776" t="e">
        <f t="shared" si="3"/>
        <v>#VALUE!</v>
      </c>
      <c r="C26" s="777" t="e">
        <f t="shared" si="0"/>
        <v>#VALUE!</v>
      </c>
      <c r="D26" s="777" t="e">
        <f t="shared" si="1"/>
        <v>#VALUE!</v>
      </c>
      <c r="E26" s="776" t="e">
        <f t="shared" si="4"/>
        <v>#VALUE!</v>
      </c>
      <c r="F26" s="778"/>
      <c r="G26" s="778"/>
      <c r="H26" s="776" t="e">
        <f t="shared" si="2"/>
        <v>#VALUE!</v>
      </c>
    </row>
    <row r="27" spans="1:8" ht="13.5" thickBot="1">
      <c r="A27" s="775">
        <v>11</v>
      </c>
      <c r="B27" s="776" t="e">
        <f t="shared" si="3"/>
        <v>#VALUE!</v>
      </c>
      <c r="C27" s="777" t="e">
        <f t="shared" si="0"/>
        <v>#VALUE!</v>
      </c>
      <c r="D27" s="777" t="e">
        <f t="shared" si="1"/>
        <v>#VALUE!</v>
      </c>
      <c r="E27" s="776" t="e">
        <f t="shared" si="4"/>
        <v>#VALUE!</v>
      </c>
      <c r="F27" s="778"/>
      <c r="G27" s="778"/>
      <c r="H27" s="776" t="e">
        <f t="shared" si="2"/>
        <v>#VALUE!</v>
      </c>
    </row>
    <row r="28" spans="1:8" ht="13.5" thickBot="1">
      <c r="A28" s="775">
        <v>12</v>
      </c>
      <c r="B28" s="776" t="e">
        <f t="shared" si="3"/>
        <v>#VALUE!</v>
      </c>
      <c r="C28" s="777" t="e">
        <f t="shared" si="0"/>
        <v>#VALUE!</v>
      </c>
      <c r="D28" s="777" t="e">
        <f t="shared" si="1"/>
        <v>#VALUE!</v>
      </c>
      <c r="E28" s="776" t="e">
        <f t="shared" si="4"/>
        <v>#VALUE!</v>
      </c>
      <c r="F28" s="778"/>
      <c r="G28" s="778"/>
      <c r="H28" s="776" t="e">
        <f t="shared" si="2"/>
        <v>#VALUE!</v>
      </c>
    </row>
    <row r="29" spans="1:8" ht="13.5" thickBot="1">
      <c r="A29" s="775">
        <v>13</v>
      </c>
      <c r="B29" s="776" t="e">
        <f t="shared" si="3"/>
        <v>#VALUE!</v>
      </c>
      <c r="C29" s="777" t="e">
        <f t="shared" si="0"/>
        <v>#VALUE!</v>
      </c>
      <c r="D29" s="777" t="e">
        <f t="shared" si="1"/>
        <v>#VALUE!</v>
      </c>
      <c r="E29" s="776" t="e">
        <f t="shared" si="4"/>
        <v>#VALUE!</v>
      </c>
      <c r="F29" s="778"/>
      <c r="G29" s="778"/>
      <c r="H29" s="776" t="e">
        <f t="shared" si="2"/>
        <v>#VALUE!</v>
      </c>
    </row>
    <row r="30" spans="1:8" ht="13.5" thickBot="1">
      <c r="A30" s="775">
        <v>14</v>
      </c>
      <c r="B30" s="776" t="e">
        <f t="shared" si="3"/>
        <v>#VALUE!</v>
      </c>
      <c r="C30" s="777" t="e">
        <f t="shared" si="0"/>
        <v>#VALUE!</v>
      </c>
      <c r="D30" s="777" t="e">
        <f t="shared" si="1"/>
        <v>#VALUE!</v>
      </c>
      <c r="E30" s="776" t="e">
        <f t="shared" si="4"/>
        <v>#VALUE!</v>
      </c>
      <c r="F30" s="778"/>
      <c r="G30" s="778"/>
      <c r="H30" s="776" t="e">
        <f t="shared" si="2"/>
        <v>#VALUE!</v>
      </c>
    </row>
    <row r="31" spans="1:8" ht="13.5" thickBot="1">
      <c r="A31" s="775">
        <v>15</v>
      </c>
      <c r="B31" s="776" t="e">
        <f t="shared" si="3"/>
        <v>#VALUE!</v>
      </c>
      <c r="C31" s="777" t="e">
        <f t="shared" si="0"/>
        <v>#VALUE!</v>
      </c>
      <c r="D31" s="777" t="e">
        <f t="shared" si="1"/>
        <v>#VALUE!</v>
      </c>
      <c r="E31" s="776" t="e">
        <f t="shared" si="4"/>
        <v>#VALUE!</v>
      </c>
      <c r="F31" s="778"/>
      <c r="G31" s="778"/>
      <c r="H31" s="776" t="e">
        <f t="shared" si="2"/>
        <v>#VALUE!</v>
      </c>
    </row>
    <row r="32" spans="1:8" ht="13.5" thickBot="1">
      <c r="A32" s="775">
        <v>16</v>
      </c>
      <c r="B32" s="776" t="e">
        <f t="shared" si="3"/>
        <v>#VALUE!</v>
      </c>
      <c r="C32" s="777" t="e">
        <f t="shared" si="0"/>
        <v>#VALUE!</v>
      </c>
      <c r="D32" s="777" t="e">
        <f t="shared" si="1"/>
        <v>#VALUE!</v>
      </c>
      <c r="E32" s="776" t="e">
        <f t="shared" si="4"/>
        <v>#VALUE!</v>
      </c>
      <c r="F32" s="778"/>
      <c r="G32" s="778"/>
      <c r="H32" s="776" t="e">
        <f t="shared" si="2"/>
        <v>#VALUE!</v>
      </c>
    </row>
    <row r="33" spans="1:8" ht="13.5" thickBot="1">
      <c r="A33" s="775">
        <v>17</v>
      </c>
      <c r="B33" s="776" t="e">
        <f t="shared" si="3"/>
        <v>#VALUE!</v>
      </c>
      <c r="C33" s="777" t="e">
        <f t="shared" si="0"/>
        <v>#VALUE!</v>
      </c>
      <c r="D33" s="777" t="e">
        <f t="shared" si="1"/>
        <v>#VALUE!</v>
      </c>
      <c r="E33" s="776" t="e">
        <f t="shared" si="4"/>
        <v>#VALUE!</v>
      </c>
      <c r="F33" s="778"/>
      <c r="G33" s="778"/>
      <c r="H33" s="776" t="e">
        <f t="shared" si="2"/>
        <v>#VALUE!</v>
      </c>
    </row>
    <row r="34" spans="1:8" ht="13.5" thickBot="1">
      <c r="A34" s="775">
        <v>18</v>
      </c>
      <c r="B34" s="776" t="e">
        <f t="shared" si="3"/>
        <v>#VALUE!</v>
      </c>
      <c r="C34" s="777" t="e">
        <f t="shared" si="0"/>
        <v>#VALUE!</v>
      </c>
      <c r="D34" s="777" t="e">
        <f t="shared" si="1"/>
        <v>#VALUE!</v>
      </c>
      <c r="E34" s="776" t="e">
        <f t="shared" si="4"/>
        <v>#VALUE!</v>
      </c>
      <c r="F34" s="778"/>
      <c r="G34" s="778"/>
      <c r="H34" s="776" t="e">
        <f t="shared" si="2"/>
        <v>#VALUE!</v>
      </c>
    </row>
    <row r="35" spans="1:8" ht="13.5" thickBot="1">
      <c r="A35" s="775">
        <v>19</v>
      </c>
      <c r="B35" s="776" t="e">
        <f t="shared" si="3"/>
        <v>#VALUE!</v>
      </c>
      <c r="C35" s="777" t="e">
        <f t="shared" si="0"/>
        <v>#VALUE!</v>
      </c>
      <c r="D35" s="777" t="e">
        <f t="shared" si="1"/>
        <v>#VALUE!</v>
      </c>
      <c r="E35" s="776" t="e">
        <f t="shared" si="4"/>
        <v>#VALUE!</v>
      </c>
      <c r="F35" s="778"/>
      <c r="G35" s="778"/>
      <c r="H35" s="776" t="e">
        <f t="shared" si="2"/>
        <v>#VALUE!</v>
      </c>
    </row>
    <row r="36" spans="1:8" ht="13.5" thickBot="1">
      <c r="A36" s="775">
        <v>20</v>
      </c>
      <c r="B36" s="776" t="e">
        <f t="shared" si="3"/>
        <v>#VALUE!</v>
      </c>
      <c r="C36" s="777" t="e">
        <f t="shared" si="0"/>
        <v>#VALUE!</v>
      </c>
      <c r="D36" s="777" t="e">
        <f t="shared" si="1"/>
        <v>#VALUE!</v>
      </c>
      <c r="E36" s="776" t="e">
        <f t="shared" si="4"/>
        <v>#VALUE!</v>
      </c>
      <c r="F36" s="778"/>
      <c r="G36" s="778"/>
      <c r="H36" s="776" t="e">
        <f t="shared" si="2"/>
        <v>#VALUE!</v>
      </c>
    </row>
    <row r="37" spans="1:8" ht="13.5" thickBot="1">
      <c r="A37" s="775">
        <v>21</v>
      </c>
      <c r="B37" s="776" t="e">
        <f t="shared" si="3"/>
        <v>#VALUE!</v>
      </c>
      <c r="C37" s="777" t="e">
        <f t="shared" si="0"/>
        <v>#VALUE!</v>
      </c>
      <c r="D37" s="777" t="e">
        <f t="shared" si="1"/>
        <v>#VALUE!</v>
      </c>
      <c r="E37" s="776" t="e">
        <f t="shared" si="4"/>
        <v>#VALUE!</v>
      </c>
      <c r="F37" s="778"/>
      <c r="G37" s="778"/>
      <c r="H37" s="776" t="e">
        <f t="shared" si="2"/>
        <v>#VALUE!</v>
      </c>
    </row>
    <row r="38" spans="1:8" ht="13.5" thickBot="1">
      <c r="A38" s="775">
        <v>22</v>
      </c>
      <c r="B38" s="776" t="e">
        <f t="shared" si="3"/>
        <v>#VALUE!</v>
      </c>
      <c r="C38" s="777" t="e">
        <f t="shared" si="0"/>
        <v>#VALUE!</v>
      </c>
      <c r="D38" s="777" t="e">
        <f t="shared" si="1"/>
        <v>#VALUE!</v>
      </c>
      <c r="E38" s="776" t="e">
        <f t="shared" si="4"/>
        <v>#VALUE!</v>
      </c>
      <c r="F38" s="778"/>
      <c r="G38" s="778"/>
      <c r="H38" s="776" t="e">
        <f t="shared" si="2"/>
        <v>#VALUE!</v>
      </c>
    </row>
    <row r="39" spans="1:8" ht="13.5" thickBot="1">
      <c r="A39" s="775">
        <v>23</v>
      </c>
      <c r="B39" s="776" t="e">
        <f t="shared" si="3"/>
        <v>#VALUE!</v>
      </c>
      <c r="C39" s="777" t="e">
        <f t="shared" si="0"/>
        <v>#VALUE!</v>
      </c>
      <c r="D39" s="777" t="e">
        <f t="shared" si="1"/>
        <v>#VALUE!</v>
      </c>
      <c r="E39" s="776" t="e">
        <f t="shared" si="4"/>
        <v>#VALUE!</v>
      </c>
      <c r="F39" s="778"/>
      <c r="G39" s="778"/>
      <c r="H39" s="776" t="e">
        <f t="shared" si="2"/>
        <v>#VALUE!</v>
      </c>
    </row>
    <row r="40" spans="1:8" ht="13.5" thickBot="1">
      <c r="A40" s="775">
        <v>24</v>
      </c>
      <c r="B40" s="776" t="e">
        <f t="shared" si="3"/>
        <v>#VALUE!</v>
      </c>
      <c r="C40" s="777" t="e">
        <f t="shared" si="0"/>
        <v>#VALUE!</v>
      </c>
      <c r="D40" s="777" t="e">
        <f t="shared" si="1"/>
        <v>#VALUE!</v>
      </c>
      <c r="E40" s="776" t="e">
        <f t="shared" si="4"/>
        <v>#VALUE!</v>
      </c>
      <c r="F40" s="778"/>
      <c r="G40" s="778"/>
      <c r="H40" s="776" t="e">
        <f t="shared" si="2"/>
        <v>#VALUE!</v>
      </c>
    </row>
    <row r="41" spans="1:8" ht="13.5" thickBot="1">
      <c r="A41" s="775">
        <v>25</v>
      </c>
      <c r="B41" s="776" t="e">
        <f t="shared" si="3"/>
        <v>#VALUE!</v>
      </c>
      <c r="C41" s="777" t="e">
        <f t="shared" si="0"/>
        <v>#VALUE!</v>
      </c>
      <c r="D41" s="777" t="e">
        <f t="shared" si="1"/>
        <v>#VALUE!</v>
      </c>
      <c r="E41" s="776" t="e">
        <f t="shared" si="4"/>
        <v>#VALUE!</v>
      </c>
      <c r="F41" s="778"/>
      <c r="G41" s="778"/>
      <c r="H41" s="776" t="e">
        <f t="shared" si="2"/>
        <v>#VALUE!</v>
      </c>
    </row>
    <row r="42" spans="1:8" ht="13.5" thickBot="1">
      <c r="A42" s="775">
        <v>26</v>
      </c>
      <c r="B42" s="776" t="e">
        <f t="shared" si="3"/>
        <v>#VALUE!</v>
      </c>
      <c r="C42" s="777" t="e">
        <f t="shared" si="0"/>
        <v>#VALUE!</v>
      </c>
      <c r="D42" s="777" t="e">
        <f t="shared" si="1"/>
        <v>#VALUE!</v>
      </c>
      <c r="E42" s="776" t="e">
        <f t="shared" si="4"/>
        <v>#VALUE!</v>
      </c>
      <c r="F42" s="778"/>
      <c r="G42" s="778"/>
      <c r="H42" s="776" t="e">
        <f t="shared" si="2"/>
        <v>#VALUE!</v>
      </c>
    </row>
    <row r="43" spans="1:8" ht="13.5" thickBot="1">
      <c r="A43" s="775">
        <v>27</v>
      </c>
      <c r="B43" s="776" t="e">
        <f t="shared" si="3"/>
        <v>#VALUE!</v>
      </c>
      <c r="C43" s="777" t="e">
        <f t="shared" si="0"/>
        <v>#VALUE!</v>
      </c>
      <c r="D43" s="777" t="e">
        <f t="shared" si="1"/>
        <v>#VALUE!</v>
      </c>
      <c r="E43" s="776" t="e">
        <f t="shared" si="4"/>
        <v>#VALUE!</v>
      </c>
      <c r="F43" s="778"/>
      <c r="G43" s="778"/>
      <c r="H43" s="776" t="e">
        <f t="shared" si="2"/>
        <v>#VALUE!</v>
      </c>
    </row>
    <row r="44" spans="1:8" ht="13.5" thickBot="1">
      <c r="A44" s="775">
        <v>28</v>
      </c>
      <c r="B44" s="776" t="e">
        <f t="shared" si="3"/>
        <v>#VALUE!</v>
      </c>
      <c r="C44" s="777" t="e">
        <f t="shared" si="0"/>
        <v>#VALUE!</v>
      </c>
      <c r="D44" s="777" t="e">
        <f t="shared" si="1"/>
        <v>#VALUE!</v>
      </c>
      <c r="E44" s="776" t="e">
        <f t="shared" si="4"/>
        <v>#VALUE!</v>
      </c>
      <c r="F44" s="778"/>
      <c r="G44" s="778"/>
      <c r="H44" s="776" t="e">
        <f t="shared" si="2"/>
        <v>#VALUE!</v>
      </c>
    </row>
    <row r="45" spans="1:8" ht="13.5" thickBot="1">
      <c r="A45" s="775">
        <v>29</v>
      </c>
      <c r="B45" s="776" t="e">
        <f t="shared" si="3"/>
        <v>#VALUE!</v>
      </c>
      <c r="C45" s="777" t="e">
        <f t="shared" si="0"/>
        <v>#VALUE!</v>
      </c>
      <c r="D45" s="777" t="e">
        <f t="shared" si="1"/>
        <v>#VALUE!</v>
      </c>
      <c r="E45" s="776" t="e">
        <f t="shared" si="4"/>
        <v>#VALUE!</v>
      </c>
      <c r="F45" s="778"/>
      <c r="G45" s="778"/>
      <c r="H45" s="776" t="e">
        <f t="shared" si="2"/>
        <v>#VALUE!</v>
      </c>
    </row>
    <row r="46" spans="1:8" ht="13.5" thickBot="1">
      <c r="A46" s="775">
        <v>30</v>
      </c>
      <c r="B46" s="776" t="e">
        <f t="shared" si="3"/>
        <v>#VALUE!</v>
      </c>
      <c r="C46" s="777" t="e">
        <f t="shared" si="0"/>
        <v>#VALUE!</v>
      </c>
      <c r="D46" s="777" t="e">
        <f t="shared" si="1"/>
        <v>#VALUE!</v>
      </c>
      <c r="E46" s="776" t="e">
        <f t="shared" si="4"/>
        <v>#VALUE!</v>
      </c>
      <c r="F46" s="778"/>
      <c r="G46" s="778"/>
      <c r="H46" s="776" t="e">
        <f t="shared" si="2"/>
        <v>#VALUE!</v>
      </c>
    </row>
    <row r="47" spans="1:8" ht="13.5" thickBot="1">
      <c r="A47" s="775">
        <v>31</v>
      </c>
      <c r="B47" s="776" t="e">
        <f t="shared" si="3"/>
        <v>#VALUE!</v>
      </c>
      <c r="C47" s="777" t="e">
        <f t="shared" si="0"/>
        <v>#VALUE!</v>
      </c>
      <c r="D47" s="777" t="e">
        <f t="shared" si="1"/>
        <v>#VALUE!</v>
      </c>
      <c r="E47" s="776" t="e">
        <f t="shared" si="4"/>
        <v>#VALUE!</v>
      </c>
      <c r="F47" s="778"/>
      <c r="G47" s="778"/>
      <c r="H47" s="776" t="e">
        <f t="shared" si="2"/>
        <v>#VALUE!</v>
      </c>
    </row>
    <row r="48" spans="1:8" ht="13.5" thickBot="1">
      <c r="A48" s="775">
        <v>32</v>
      </c>
      <c r="B48" s="776" t="e">
        <f t="shared" si="3"/>
        <v>#VALUE!</v>
      </c>
      <c r="C48" s="777" t="e">
        <f t="shared" si="0"/>
        <v>#VALUE!</v>
      </c>
      <c r="D48" s="777" t="e">
        <f t="shared" si="1"/>
        <v>#VALUE!</v>
      </c>
      <c r="E48" s="776" t="e">
        <f t="shared" si="4"/>
        <v>#VALUE!</v>
      </c>
      <c r="F48" s="778"/>
      <c r="G48" s="778"/>
      <c r="H48" s="776" t="e">
        <f t="shared" si="2"/>
        <v>#VALUE!</v>
      </c>
    </row>
    <row r="49" spans="1:8" ht="13.5" thickBot="1">
      <c r="A49" s="775">
        <v>33</v>
      </c>
      <c r="B49" s="776" t="e">
        <f t="shared" si="3"/>
        <v>#VALUE!</v>
      </c>
      <c r="C49" s="777" t="e">
        <f t="shared" si="0"/>
        <v>#VALUE!</v>
      </c>
      <c r="D49" s="777" t="e">
        <f t="shared" si="1"/>
        <v>#VALUE!</v>
      </c>
      <c r="E49" s="776" t="e">
        <f t="shared" si="4"/>
        <v>#VALUE!</v>
      </c>
      <c r="F49" s="778"/>
      <c r="G49" s="778"/>
      <c r="H49" s="776" t="e">
        <f t="shared" si="2"/>
        <v>#VALUE!</v>
      </c>
    </row>
    <row r="50" spans="1:8" ht="13.5" thickBot="1">
      <c r="A50" s="775">
        <v>34</v>
      </c>
      <c r="B50" s="776" t="e">
        <f t="shared" si="3"/>
        <v>#VALUE!</v>
      </c>
      <c r="C50" s="777" t="e">
        <f t="shared" si="0"/>
        <v>#VALUE!</v>
      </c>
      <c r="D50" s="777" t="e">
        <f t="shared" si="1"/>
        <v>#VALUE!</v>
      </c>
      <c r="E50" s="776" t="e">
        <f t="shared" si="4"/>
        <v>#VALUE!</v>
      </c>
      <c r="F50" s="778"/>
      <c r="G50" s="778"/>
      <c r="H50" s="776" t="e">
        <f t="shared" si="2"/>
        <v>#VALUE!</v>
      </c>
    </row>
    <row r="51" spans="1:8" ht="13.5" thickBot="1">
      <c r="A51" s="775">
        <v>35</v>
      </c>
      <c r="B51" s="776" t="e">
        <f t="shared" si="3"/>
        <v>#VALUE!</v>
      </c>
      <c r="C51" s="777" t="e">
        <f t="shared" si="0"/>
        <v>#VALUE!</v>
      </c>
      <c r="D51" s="777" t="e">
        <f t="shared" si="1"/>
        <v>#VALUE!</v>
      </c>
      <c r="E51" s="776" t="e">
        <f t="shared" si="4"/>
        <v>#VALUE!</v>
      </c>
      <c r="F51" s="778"/>
      <c r="G51" s="778"/>
      <c r="H51" s="776" t="e">
        <f t="shared" si="2"/>
        <v>#VALUE!</v>
      </c>
    </row>
    <row r="52" spans="1:8" ht="13.5" thickBot="1">
      <c r="A52" s="775">
        <v>36</v>
      </c>
      <c r="B52" s="776" t="e">
        <f t="shared" si="3"/>
        <v>#VALUE!</v>
      </c>
      <c r="C52" s="777" t="e">
        <f t="shared" si="0"/>
        <v>#VALUE!</v>
      </c>
      <c r="D52" s="777" t="e">
        <f t="shared" si="1"/>
        <v>#VALUE!</v>
      </c>
      <c r="E52" s="776" t="e">
        <f t="shared" si="4"/>
        <v>#VALUE!</v>
      </c>
      <c r="F52" s="778"/>
      <c r="G52" s="778"/>
      <c r="H52" s="776" t="e">
        <f t="shared" si="2"/>
        <v>#VALUE!</v>
      </c>
    </row>
    <row r="53" spans="1:8" ht="13.5" thickBot="1">
      <c r="A53" s="775">
        <v>37</v>
      </c>
      <c r="B53" s="776" t="e">
        <f t="shared" si="3"/>
        <v>#VALUE!</v>
      </c>
      <c r="C53" s="777" t="e">
        <f t="shared" si="0"/>
        <v>#VALUE!</v>
      </c>
      <c r="D53" s="777" t="e">
        <f t="shared" si="1"/>
        <v>#VALUE!</v>
      </c>
      <c r="E53" s="776" t="e">
        <f t="shared" si="4"/>
        <v>#VALUE!</v>
      </c>
      <c r="F53" s="778"/>
      <c r="G53" s="778"/>
      <c r="H53" s="776" t="e">
        <f t="shared" si="2"/>
        <v>#VALUE!</v>
      </c>
    </row>
    <row r="54" spans="1:8" ht="13.5" thickBot="1">
      <c r="A54" s="775">
        <v>38</v>
      </c>
      <c r="B54" s="776" t="e">
        <f t="shared" si="3"/>
        <v>#VALUE!</v>
      </c>
      <c r="C54" s="777" t="e">
        <f t="shared" si="0"/>
        <v>#VALUE!</v>
      </c>
      <c r="D54" s="777" t="e">
        <f t="shared" si="1"/>
        <v>#VALUE!</v>
      </c>
      <c r="E54" s="776" t="e">
        <f t="shared" si="4"/>
        <v>#VALUE!</v>
      </c>
      <c r="F54" s="778"/>
      <c r="G54" s="778"/>
      <c r="H54" s="776" t="e">
        <f t="shared" si="2"/>
        <v>#VALUE!</v>
      </c>
    </row>
    <row r="55" spans="1:8" ht="13.5" thickBot="1">
      <c r="A55" s="775">
        <v>39</v>
      </c>
      <c r="B55" s="776" t="e">
        <f t="shared" si="3"/>
        <v>#VALUE!</v>
      </c>
      <c r="C55" s="777" t="e">
        <f t="shared" si="0"/>
        <v>#VALUE!</v>
      </c>
      <c r="D55" s="777" t="e">
        <f t="shared" si="1"/>
        <v>#VALUE!</v>
      </c>
      <c r="E55" s="776" t="e">
        <f t="shared" si="4"/>
        <v>#VALUE!</v>
      </c>
      <c r="F55" s="778"/>
      <c r="G55" s="778"/>
      <c r="H55" s="776" t="e">
        <f t="shared" si="2"/>
        <v>#VALUE!</v>
      </c>
    </row>
    <row r="56" spans="1:8" ht="13.5" thickBot="1">
      <c r="A56" s="775">
        <v>40</v>
      </c>
      <c r="B56" s="776" t="e">
        <f t="shared" si="3"/>
        <v>#VALUE!</v>
      </c>
      <c r="C56" s="777" t="e">
        <f t="shared" si="0"/>
        <v>#VALUE!</v>
      </c>
      <c r="D56" s="777" t="e">
        <f t="shared" si="1"/>
        <v>#VALUE!</v>
      </c>
      <c r="E56" s="776" t="e">
        <f t="shared" si="4"/>
        <v>#VALUE!</v>
      </c>
      <c r="F56" s="778"/>
      <c r="G56" s="778"/>
      <c r="H56" s="776" t="e">
        <f t="shared" si="2"/>
        <v>#VALUE!</v>
      </c>
    </row>
    <row r="57" spans="1:8" ht="13.5" thickBot="1">
      <c r="A57" s="775">
        <v>41</v>
      </c>
      <c r="B57" s="776" t="e">
        <f t="shared" si="3"/>
        <v>#VALUE!</v>
      </c>
      <c r="C57" s="777" t="e">
        <f t="shared" si="0"/>
        <v>#VALUE!</v>
      </c>
      <c r="D57" s="777" t="e">
        <f t="shared" si="1"/>
        <v>#VALUE!</v>
      </c>
      <c r="E57" s="776" t="e">
        <f t="shared" si="4"/>
        <v>#VALUE!</v>
      </c>
      <c r="F57" s="778"/>
      <c r="G57" s="778"/>
      <c r="H57" s="776" t="e">
        <f t="shared" si="2"/>
        <v>#VALUE!</v>
      </c>
    </row>
    <row r="58" spans="1:8" ht="13.5" thickBot="1">
      <c r="A58" s="775">
        <v>42</v>
      </c>
      <c r="B58" s="776" t="e">
        <f t="shared" si="3"/>
        <v>#VALUE!</v>
      </c>
      <c r="C58" s="777" t="e">
        <f t="shared" si="0"/>
        <v>#VALUE!</v>
      </c>
      <c r="D58" s="777" t="e">
        <f t="shared" si="1"/>
        <v>#VALUE!</v>
      </c>
      <c r="E58" s="776" t="e">
        <f t="shared" si="4"/>
        <v>#VALUE!</v>
      </c>
      <c r="F58" s="778"/>
      <c r="G58" s="778"/>
      <c r="H58" s="776" t="e">
        <f t="shared" si="2"/>
        <v>#VALUE!</v>
      </c>
    </row>
    <row r="59" spans="1:8" ht="13.5" thickBot="1">
      <c r="A59" s="775">
        <v>43</v>
      </c>
      <c r="B59" s="776" t="e">
        <f t="shared" si="3"/>
        <v>#VALUE!</v>
      </c>
      <c r="C59" s="777" t="e">
        <f t="shared" si="0"/>
        <v>#VALUE!</v>
      </c>
      <c r="D59" s="777" t="e">
        <f t="shared" si="1"/>
        <v>#VALUE!</v>
      </c>
      <c r="E59" s="776" t="e">
        <f t="shared" si="4"/>
        <v>#VALUE!</v>
      </c>
      <c r="F59" s="778"/>
      <c r="G59" s="778"/>
      <c r="H59" s="776" t="e">
        <f t="shared" si="2"/>
        <v>#VALUE!</v>
      </c>
    </row>
    <row r="60" spans="1:8" ht="13.5" thickBot="1">
      <c r="A60" s="775">
        <v>44</v>
      </c>
      <c r="B60" s="776" t="e">
        <f t="shared" si="3"/>
        <v>#VALUE!</v>
      </c>
      <c r="C60" s="777" t="e">
        <f t="shared" si="0"/>
        <v>#VALUE!</v>
      </c>
      <c r="D60" s="777" t="e">
        <f t="shared" si="1"/>
        <v>#VALUE!</v>
      </c>
      <c r="E60" s="776" t="e">
        <f t="shared" si="4"/>
        <v>#VALUE!</v>
      </c>
      <c r="F60" s="778"/>
      <c r="G60" s="778"/>
      <c r="H60" s="776" t="e">
        <f t="shared" si="2"/>
        <v>#VALUE!</v>
      </c>
    </row>
    <row r="61" spans="1:8" ht="13.5" thickBot="1">
      <c r="A61" s="775">
        <v>45</v>
      </c>
      <c r="B61" s="776" t="e">
        <f t="shared" si="3"/>
        <v>#VALUE!</v>
      </c>
      <c r="C61" s="777" t="e">
        <f t="shared" si="0"/>
        <v>#VALUE!</v>
      </c>
      <c r="D61" s="777" t="e">
        <f t="shared" si="1"/>
        <v>#VALUE!</v>
      </c>
      <c r="E61" s="776" t="e">
        <f t="shared" si="4"/>
        <v>#VALUE!</v>
      </c>
      <c r="F61" s="778"/>
      <c r="G61" s="778"/>
      <c r="H61" s="776" t="e">
        <f t="shared" si="2"/>
        <v>#VALUE!</v>
      </c>
    </row>
    <row r="62" spans="1:8" ht="13.5" thickBot="1">
      <c r="A62" s="775">
        <v>46</v>
      </c>
      <c r="B62" s="776" t="e">
        <f t="shared" si="3"/>
        <v>#VALUE!</v>
      </c>
      <c r="C62" s="777" t="e">
        <f t="shared" si="0"/>
        <v>#VALUE!</v>
      </c>
      <c r="D62" s="777" t="e">
        <f t="shared" si="1"/>
        <v>#VALUE!</v>
      </c>
      <c r="E62" s="776" t="e">
        <f t="shared" si="4"/>
        <v>#VALUE!</v>
      </c>
      <c r="F62" s="778"/>
      <c r="G62" s="778"/>
      <c r="H62" s="776" t="e">
        <f t="shared" si="2"/>
        <v>#VALUE!</v>
      </c>
    </row>
    <row r="63" spans="1:8" ht="13.5" thickBot="1">
      <c r="A63" s="775">
        <v>47</v>
      </c>
      <c r="B63" s="776" t="e">
        <f t="shared" si="3"/>
        <v>#VALUE!</v>
      </c>
      <c r="C63" s="777" t="e">
        <f t="shared" si="0"/>
        <v>#VALUE!</v>
      </c>
      <c r="D63" s="777" t="e">
        <f t="shared" si="1"/>
        <v>#VALUE!</v>
      </c>
      <c r="E63" s="776" t="e">
        <f t="shared" si="4"/>
        <v>#VALUE!</v>
      </c>
      <c r="F63" s="778"/>
      <c r="G63" s="778"/>
      <c r="H63" s="776" t="e">
        <f t="shared" si="2"/>
        <v>#VALUE!</v>
      </c>
    </row>
    <row r="64" spans="1:8" ht="13.5" thickBot="1">
      <c r="A64" s="775">
        <v>48</v>
      </c>
      <c r="B64" s="776" t="e">
        <f t="shared" si="3"/>
        <v>#VALUE!</v>
      </c>
      <c r="C64" s="777" t="e">
        <f t="shared" si="0"/>
        <v>#VALUE!</v>
      </c>
      <c r="D64" s="777" t="e">
        <f t="shared" si="1"/>
        <v>#VALUE!</v>
      </c>
      <c r="E64" s="776" t="e">
        <f t="shared" si="4"/>
        <v>#VALUE!</v>
      </c>
      <c r="F64" s="778"/>
      <c r="G64" s="778"/>
      <c r="H64" s="776" t="e">
        <f t="shared" si="2"/>
        <v>#VALUE!</v>
      </c>
    </row>
    <row r="65" spans="1:8" ht="13.5" thickBot="1">
      <c r="A65" s="775">
        <v>49</v>
      </c>
      <c r="B65" s="776" t="e">
        <f t="shared" si="3"/>
        <v>#VALUE!</v>
      </c>
      <c r="C65" s="777" t="e">
        <f t="shared" si="0"/>
        <v>#VALUE!</v>
      </c>
      <c r="D65" s="777" t="e">
        <f t="shared" si="1"/>
        <v>#VALUE!</v>
      </c>
      <c r="E65" s="776" t="e">
        <f t="shared" si="4"/>
        <v>#VALUE!</v>
      </c>
      <c r="F65" s="778"/>
      <c r="G65" s="778"/>
      <c r="H65" s="776" t="e">
        <f t="shared" si="2"/>
        <v>#VALUE!</v>
      </c>
    </row>
    <row r="66" spans="1:8" ht="13.5" thickBot="1">
      <c r="A66" s="775">
        <v>50</v>
      </c>
      <c r="B66" s="776" t="e">
        <f t="shared" si="3"/>
        <v>#VALUE!</v>
      </c>
      <c r="C66" s="777" t="e">
        <f t="shared" si="0"/>
        <v>#VALUE!</v>
      </c>
      <c r="D66" s="777" t="e">
        <f t="shared" si="1"/>
        <v>#VALUE!</v>
      </c>
      <c r="E66" s="776" t="e">
        <f t="shared" si="4"/>
        <v>#VALUE!</v>
      </c>
      <c r="F66" s="778"/>
      <c r="G66" s="778"/>
      <c r="H66" s="776" t="e">
        <f t="shared" si="2"/>
        <v>#VALUE!</v>
      </c>
    </row>
    <row r="67" spans="1:8" ht="13.5" thickBot="1">
      <c r="A67" s="775">
        <v>51</v>
      </c>
      <c r="B67" s="776" t="e">
        <f t="shared" si="3"/>
        <v>#VALUE!</v>
      </c>
      <c r="C67" s="777" t="e">
        <f t="shared" si="0"/>
        <v>#VALUE!</v>
      </c>
      <c r="D67" s="777" t="e">
        <f t="shared" si="1"/>
        <v>#VALUE!</v>
      </c>
      <c r="E67" s="776" t="e">
        <f t="shared" si="4"/>
        <v>#VALUE!</v>
      </c>
      <c r="F67" s="778"/>
      <c r="G67" s="778"/>
      <c r="H67" s="776" t="e">
        <f t="shared" si="2"/>
        <v>#VALUE!</v>
      </c>
    </row>
    <row r="68" spans="1:8" ht="13.5" thickBot="1">
      <c r="A68" s="775">
        <v>52</v>
      </c>
      <c r="B68" s="776" t="e">
        <f t="shared" si="3"/>
        <v>#VALUE!</v>
      </c>
      <c r="C68" s="777" t="e">
        <f t="shared" si="0"/>
        <v>#VALUE!</v>
      </c>
      <c r="D68" s="777" t="e">
        <f t="shared" si="1"/>
        <v>#VALUE!</v>
      </c>
      <c r="E68" s="776" t="e">
        <f t="shared" si="4"/>
        <v>#VALUE!</v>
      </c>
      <c r="F68" s="778"/>
      <c r="G68" s="778"/>
      <c r="H68" s="776" t="e">
        <f t="shared" si="2"/>
        <v>#VALUE!</v>
      </c>
    </row>
    <row r="69" spans="1:8" ht="13.5" thickBot="1">
      <c r="A69" s="775">
        <v>53</v>
      </c>
      <c r="B69" s="776" t="e">
        <f t="shared" si="3"/>
        <v>#VALUE!</v>
      </c>
      <c r="C69" s="777" t="e">
        <f t="shared" si="0"/>
        <v>#VALUE!</v>
      </c>
      <c r="D69" s="777" t="e">
        <f t="shared" si="1"/>
        <v>#VALUE!</v>
      </c>
      <c r="E69" s="776" t="e">
        <f t="shared" si="4"/>
        <v>#VALUE!</v>
      </c>
      <c r="F69" s="778"/>
      <c r="G69" s="778"/>
      <c r="H69" s="776" t="e">
        <f t="shared" si="2"/>
        <v>#VALUE!</v>
      </c>
    </row>
    <row r="70" spans="1:8" ht="13.5" thickBot="1">
      <c r="A70" s="775">
        <v>54</v>
      </c>
      <c r="B70" s="776" t="e">
        <f t="shared" si="3"/>
        <v>#VALUE!</v>
      </c>
      <c r="C70" s="777" t="e">
        <f t="shared" si="0"/>
        <v>#VALUE!</v>
      </c>
      <c r="D70" s="777" t="e">
        <f t="shared" si="1"/>
        <v>#VALUE!</v>
      </c>
      <c r="E70" s="776" t="e">
        <f t="shared" si="4"/>
        <v>#VALUE!</v>
      </c>
      <c r="F70" s="778"/>
      <c r="G70" s="778"/>
      <c r="H70" s="776" t="e">
        <f t="shared" si="2"/>
        <v>#VALUE!</v>
      </c>
    </row>
    <row r="71" spans="1:8" ht="13.5" thickBot="1">
      <c r="A71" s="775">
        <v>55</v>
      </c>
      <c r="B71" s="776" t="e">
        <f t="shared" si="3"/>
        <v>#VALUE!</v>
      </c>
      <c r="C71" s="777" t="e">
        <f t="shared" si="0"/>
        <v>#VALUE!</v>
      </c>
      <c r="D71" s="777" t="e">
        <f t="shared" si="1"/>
        <v>#VALUE!</v>
      </c>
      <c r="E71" s="776" t="e">
        <f t="shared" si="4"/>
        <v>#VALUE!</v>
      </c>
      <c r="F71" s="778"/>
      <c r="G71" s="778"/>
      <c r="H71" s="776" t="e">
        <f t="shared" si="2"/>
        <v>#VALUE!</v>
      </c>
    </row>
    <row r="72" spans="1:8" ht="13.5" thickBot="1">
      <c r="A72" s="775">
        <v>56</v>
      </c>
      <c r="B72" s="776" t="e">
        <f t="shared" si="3"/>
        <v>#VALUE!</v>
      </c>
      <c r="C72" s="777" t="e">
        <f t="shared" si="0"/>
        <v>#VALUE!</v>
      </c>
      <c r="D72" s="777" t="e">
        <f t="shared" si="1"/>
        <v>#VALUE!</v>
      </c>
      <c r="E72" s="776" t="e">
        <f t="shared" si="4"/>
        <v>#VALUE!</v>
      </c>
      <c r="F72" s="778"/>
      <c r="G72" s="778"/>
      <c r="H72" s="776" t="e">
        <f t="shared" si="2"/>
        <v>#VALUE!</v>
      </c>
    </row>
    <row r="73" spans="1:8" ht="13.5" thickBot="1">
      <c r="A73" s="775">
        <v>57</v>
      </c>
      <c r="B73" s="776" t="e">
        <f t="shared" si="3"/>
        <v>#VALUE!</v>
      </c>
      <c r="C73" s="777" t="e">
        <f t="shared" si="0"/>
        <v>#VALUE!</v>
      </c>
      <c r="D73" s="777" t="e">
        <f t="shared" si="1"/>
        <v>#VALUE!</v>
      </c>
      <c r="E73" s="776" t="e">
        <f t="shared" si="4"/>
        <v>#VALUE!</v>
      </c>
      <c r="F73" s="778"/>
      <c r="G73" s="778"/>
      <c r="H73" s="776" t="e">
        <f t="shared" si="2"/>
        <v>#VALUE!</v>
      </c>
    </row>
    <row r="74" spans="1:8" ht="13.5" thickBot="1">
      <c r="A74" s="775">
        <v>58</v>
      </c>
      <c r="B74" s="776" t="e">
        <f t="shared" si="3"/>
        <v>#VALUE!</v>
      </c>
      <c r="C74" s="777" t="e">
        <f t="shared" si="0"/>
        <v>#VALUE!</v>
      </c>
      <c r="D74" s="777" t="e">
        <f t="shared" si="1"/>
        <v>#VALUE!</v>
      </c>
      <c r="E74" s="776" t="e">
        <f t="shared" si="4"/>
        <v>#VALUE!</v>
      </c>
      <c r="F74" s="778"/>
      <c r="G74" s="778"/>
      <c r="H74" s="776" t="e">
        <f t="shared" si="2"/>
        <v>#VALUE!</v>
      </c>
    </row>
    <row r="75" spans="1:8" ht="13.5" thickBot="1">
      <c r="A75" s="775">
        <v>59</v>
      </c>
      <c r="B75" s="776" t="e">
        <f t="shared" si="3"/>
        <v>#VALUE!</v>
      </c>
      <c r="C75" s="777" t="e">
        <f t="shared" si="0"/>
        <v>#VALUE!</v>
      </c>
      <c r="D75" s="777" t="e">
        <f t="shared" si="1"/>
        <v>#VALUE!</v>
      </c>
      <c r="E75" s="776" t="e">
        <f t="shared" si="4"/>
        <v>#VALUE!</v>
      </c>
      <c r="F75" s="778"/>
      <c r="G75" s="778"/>
      <c r="H75" s="776" t="e">
        <f t="shared" si="2"/>
        <v>#VALUE!</v>
      </c>
    </row>
    <row r="76" spans="1:8" ht="13.5" thickBot="1">
      <c r="A76" s="775">
        <v>60</v>
      </c>
      <c r="B76" s="776" t="e">
        <f t="shared" si="3"/>
        <v>#VALUE!</v>
      </c>
      <c r="C76" s="777" t="e">
        <f t="shared" si="0"/>
        <v>#VALUE!</v>
      </c>
      <c r="D76" s="777" t="e">
        <f t="shared" si="1"/>
        <v>#VALUE!</v>
      </c>
      <c r="E76" s="776" t="e">
        <f t="shared" si="4"/>
        <v>#VALUE!</v>
      </c>
      <c r="F76" s="778"/>
      <c r="G76" s="778"/>
      <c r="H76" s="776" t="e">
        <f t="shared" si="2"/>
        <v>#VALUE!</v>
      </c>
    </row>
    <row r="77" spans="1:8" ht="13.5" thickBot="1">
      <c r="A77" s="775">
        <v>61</v>
      </c>
      <c r="B77" s="776" t="e">
        <f t="shared" si="3"/>
        <v>#VALUE!</v>
      </c>
      <c r="C77" s="777" t="e">
        <f t="shared" si="0"/>
        <v>#VALUE!</v>
      </c>
      <c r="D77" s="777" t="e">
        <f t="shared" si="1"/>
        <v>#VALUE!</v>
      </c>
      <c r="E77" s="776" t="e">
        <f t="shared" si="4"/>
        <v>#VALUE!</v>
      </c>
      <c r="F77" s="778"/>
      <c r="G77" s="778"/>
      <c r="H77" s="776" t="e">
        <f t="shared" si="2"/>
        <v>#VALUE!</v>
      </c>
    </row>
    <row r="78" spans="1:8" ht="13.5" thickBot="1">
      <c r="A78" s="775">
        <v>62</v>
      </c>
      <c r="B78" s="776" t="e">
        <f t="shared" si="3"/>
        <v>#VALUE!</v>
      </c>
      <c r="C78" s="777" t="e">
        <f t="shared" si="0"/>
        <v>#VALUE!</v>
      </c>
      <c r="D78" s="777" t="e">
        <f t="shared" si="1"/>
        <v>#VALUE!</v>
      </c>
      <c r="E78" s="776" t="e">
        <f t="shared" si="4"/>
        <v>#VALUE!</v>
      </c>
      <c r="F78" s="778"/>
      <c r="G78" s="778"/>
      <c r="H78" s="776" t="e">
        <f t="shared" si="2"/>
        <v>#VALUE!</v>
      </c>
    </row>
    <row r="79" spans="1:8" ht="13.5" thickBot="1">
      <c r="A79" s="775">
        <v>63</v>
      </c>
      <c r="B79" s="776" t="e">
        <f t="shared" si="3"/>
        <v>#VALUE!</v>
      </c>
      <c r="C79" s="777" t="e">
        <f t="shared" si="0"/>
        <v>#VALUE!</v>
      </c>
      <c r="D79" s="777" t="e">
        <f t="shared" si="1"/>
        <v>#VALUE!</v>
      </c>
      <c r="E79" s="776" t="e">
        <f t="shared" si="4"/>
        <v>#VALUE!</v>
      </c>
      <c r="F79" s="778"/>
      <c r="G79" s="778"/>
      <c r="H79" s="776" t="e">
        <f t="shared" si="2"/>
        <v>#VALUE!</v>
      </c>
    </row>
    <row r="80" spans="1:8" ht="13.5" thickBot="1">
      <c r="A80" s="775">
        <v>64</v>
      </c>
      <c r="B80" s="776" t="e">
        <f t="shared" si="3"/>
        <v>#VALUE!</v>
      </c>
      <c r="C80" s="777" t="e">
        <f t="shared" si="0"/>
        <v>#VALUE!</v>
      </c>
      <c r="D80" s="777" t="e">
        <f t="shared" si="1"/>
        <v>#VALUE!</v>
      </c>
      <c r="E80" s="776" t="e">
        <f t="shared" si="4"/>
        <v>#VALUE!</v>
      </c>
      <c r="F80" s="778"/>
      <c r="G80" s="778"/>
      <c r="H80" s="776" t="e">
        <f t="shared" si="2"/>
        <v>#VALUE!</v>
      </c>
    </row>
    <row r="81" spans="1:8" ht="13.5" thickBot="1">
      <c r="A81" s="775">
        <v>65</v>
      </c>
      <c r="B81" s="776" t="e">
        <f t="shared" si="3"/>
        <v>#VALUE!</v>
      </c>
      <c r="C81" s="777" t="e">
        <f t="shared" si="0"/>
        <v>#VALUE!</v>
      </c>
      <c r="D81" s="777" t="e">
        <f t="shared" si="1"/>
        <v>#VALUE!</v>
      </c>
      <c r="E81" s="776" t="e">
        <f t="shared" si="4"/>
        <v>#VALUE!</v>
      </c>
      <c r="F81" s="778"/>
      <c r="G81" s="778"/>
      <c r="H81" s="776" t="e">
        <f t="shared" si="2"/>
        <v>#VALUE!</v>
      </c>
    </row>
    <row r="82" spans="1:8" ht="13.5" thickBot="1">
      <c r="A82" s="775">
        <v>66</v>
      </c>
      <c r="B82" s="776" t="e">
        <f t="shared" si="3"/>
        <v>#VALUE!</v>
      </c>
      <c r="C82" s="777" t="e">
        <f t="shared" ref="C82:C145" si="5">$B$14</f>
        <v>#VALUE!</v>
      </c>
      <c r="D82" s="777" t="e">
        <f t="shared" ref="D82:D145" si="6">$C82-$E82</f>
        <v>#VALUE!</v>
      </c>
      <c r="E82" s="776" t="e">
        <f t="shared" si="4"/>
        <v>#VALUE!</v>
      </c>
      <c r="F82" s="778"/>
      <c r="G82" s="778"/>
      <c r="H82" s="776" t="e">
        <f t="shared" ref="H82:H145" si="7">$B82-$D82</f>
        <v>#VALUE!</v>
      </c>
    </row>
    <row r="83" spans="1:8" ht="13.5" thickBot="1">
      <c r="A83" s="775">
        <v>67</v>
      </c>
      <c r="B83" s="776" t="e">
        <f t="shared" ref="B83:B136" si="8">H82</f>
        <v>#VALUE!</v>
      </c>
      <c r="C83" s="777" t="e">
        <f t="shared" si="5"/>
        <v>#VALUE!</v>
      </c>
      <c r="D83" s="777" t="e">
        <f t="shared" si="6"/>
        <v>#VALUE!</v>
      </c>
      <c r="E83" s="776" t="e">
        <f t="shared" si="4"/>
        <v>#VALUE!</v>
      </c>
      <c r="F83" s="778"/>
      <c r="G83" s="778"/>
      <c r="H83" s="776" t="e">
        <f t="shared" si="7"/>
        <v>#VALUE!</v>
      </c>
    </row>
    <row r="84" spans="1:8" ht="13.5" thickBot="1">
      <c r="A84" s="775">
        <v>68</v>
      </c>
      <c r="B84" s="776" t="e">
        <f t="shared" si="8"/>
        <v>#VALUE!</v>
      </c>
      <c r="C84" s="777" t="e">
        <f t="shared" si="5"/>
        <v>#VALUE!</v>
      </c>
      <c r="D84" s="777" t="e">
        <f t="shared" si="6"/>
        <v>#VALUE!</v>
      </c>
      <c r="E84" s="776" t="e">
        <f t="shared" si="4"/>
        <v>#VALUE!</v>
      </c>
      <c r="F84" s="778"/>
      <c r="G84" s="778"/>
      <c r="H84" s="776" t="e">
        <f t="shared" si="7"/>
        <v>#VALUE!</v>
      </c>
    </row>
    <row r="85" spans="1:8" ht="13.5" thickBot="1">
      <c r="A85" s="775">
        <v>69</v>
      </c>
      <c r="B85" s="776" t="e">
        <f t="shared" si="8"/>
        <v>#VALUE!</v>
      </c>
      <c r="C85" s="777" t="e">
        <f t="shared" si="5"/>
        <v>#VALUE!</v>
      </c>
      <c r="D85" s="777" t="e">
        <f t="shared" si="6"/>
        <v>#VALUE!</v>
      </c>
      <c r="E85" s="776" t="e">
        <f t="shared" si="4"/>
        <v>#VALUE!</v>
      </c>
      <c r="F85" s="778"/>
      <c r="G85" s="778"/>
      <c r="H85" s="776" t="e">
        <f t="shared" si="7"/>
        <v>#VALUE!</v>
      </c>
    </row>
    <row r="86" spans="1:8" ht="13.5" thickBot="1">
      <c r="A86" s="775">
        <v>70</v>
      </c>
      <c r="B86" s="776" t="e">
        <f t="shared" si="8"/>
        <v>#VALUE!</v>
      </c>
      <c r="C86" s="777" t="e">
        <f t="shared" si="5"/>
        <v>#VALUE!</v>
      </c>
      <c r="D86" s="777" t="e">
        <f t="shared" si="6"/>
        <v>#VALUE!</v>
      </c>
      <c r="E86" s="776" t="e">
        <f t="shared" ref="E86:E149" si="9">IF($B86*$B$5&gt;0,$B86*$B$5,0)</f>
        <v>#VALUE!</v>
      </c>
      <c r="F86" s="778"/>
      <c r="G86" s="778"/>
      <c r="H86" s="776" t="e">
        <f t="shared" si="7"/>
        <v>#VALUE!</v>
      </c>
    </row>
    <row r="87" spans="1:8" ht="13.5" thickBot="1">
      <c r="A87" s="775">
        <v>71</v>
      </c>
      <c r="B87" s="776" t="e">
        <f t="shared" si="8"/>
        <v>#VALUE!</v>
      </c>
      <c r="C87" s="777" t="e">
        <f t="shared" si="5"/>
        <v>#VALUE!</v>
      </c>
      <c r="D87" s="777" t="e">
        <f t="shared" si="6"/>
        <v>#VALUE!</v>
      </c>
      <c r="E87" s="776" t="e">
        <f t="shared" si="9"/>
        <v>#VALUE!</v>
      </c>
      <c r="F87" s="778"/>
      <c r="G87" s="778"/>
      <c r="H87" s="776" t="e">
        <f t="shared" si="7"/>
        <v>#VALUE!</v>
      </c>
    </row>
    <row r="88" spans="1:8" ht="13.5" thickBot="1">
      <c r="A88" s="775">
        <v>72</v>
      </c>
      <c r="B88" s="776" t="e">
        <f t="shared" si="8"/>
        <v>#VALUE!</v>
      </c>
      <c r="C88" s="777" t="e">
        <f t="shared" si="5"/>
        <v>#VALUE!</v>
      </c>
      <c r="D88" s="777" t="e">
        <f t="shared" si="6"/>
        <v>#VALUE!</v>
      </c>
      <c r="E88" s="776" t="e">
        <f t="shared" si="9"/>
        <v>#VALUE!</v>
      </c>
      <c r="F88" s="778"/>
      <c r="G88" s="778"/>
      <c r="H88" s="776" t="e">
        <f t="shared" si="7"/>
        <v>#VALUE!</v>
      </c>
    </row>
    <row r="89" spans="1:8" ht="13.5" thickBot="1">
      <c r="A89" s="775">
        <v>73</v>
      </c>
      <c r="B89" s="776" t="e">
        <f t="shared" si="8"/>
        <v>#VALUE!</v>
      </c>
      <c r="C89" s="777" t="e">
        <f t="shared" si="5"/>
        <v>#VALUE!</v>
      </c>
      <c r="D89" s="777" t="e">
        <f t="shared" si="6"/>
        <v>#VALUE!</v>
      </c>
      <c r="E89" s="776" t="e">
        <f t="shared" si="9"/>
        <v>#VALUE!</v>
      </c>
      <c r="F89" s="778"/>
      <c r="G89" s="778"/>
      <c r="H89" s="776" t="e">
        <f t="shared" si="7"/>
        <v>#VALUE!</v>
      </c>
    </row>
    <row r="90" spans="1:8" ht="13.5" thickBot="1">
      <c r="A90" s="775">
        <v>74</v>
      </c>
      <c r="B90" s="776" t="e">
        <f t="shared" si="8"/>
        <v>#VALUE!</v>
      </c>
      <c r="C90" s="777" t="e">
        <f t="shared" si="5"/>
        <v>#VALUE!</v>
      </c>
      <c r="D90" s="777" t="e">
        <f t="shared" si="6"/>
        <v>#VALUE!</v>
      </c>
      <c r="E90" s="776" t="e">
        <f t="shared" si="9"/>
        <v>#VALUE!</v>
      </c>
      <c r="F90" s="778"/>
      <c r="G90" s="778"/>
      <c r="H90" s="776" t="e">
        <f t="shared" si="7"/>
        <v>#VALUE!</v>
      </c>
    </row>
    <row r="91" spans="1:8" ht="13.5" thickBot="1">
      <c r="A91" s="775">
        <v>75</v>
      </c>
      <c r="B91" s="776" t="e">
        <f t="shared" si="8"/>
        <v>#VALUE!</v>
      </c>
      <c r="C91" s="777" t="e">
        <f t="shared" si="5"/>
        <v>#VALUE!</v>
      </c>
      <c r="D91" s="777" t="e">
        <f t="shared" si="6"/>
        <v>#VALUE!</v>
      </c>
      <c r="E91" s="776" t="e">
        <f t="shared" si="9"/>
        <v>#VALUE!</v>
      </c>
      <c r="F91" s="778"/>
      <c r="G91" s="778"/>
      <c r="H91" s="776" t="e">
        <f t="shared" si="7"/>
        <v>#VALUE!</v>
      </c>
    </row>
    <row r="92" spans="1:8" ht="13.5" thickBot="1">
      <c r="A92" s="775">
        <v>76</v>
      </c>
      <c r="B92" s="776" t="e">
        <f t="shared" si="8"/>
        <v>#VALUE!</v>
      </c>
      <c r="C92" s="777" t="e">
        <f t="shared" si="5"/>
        <v>#VALUE!</v>
      </c>
      <c r="D92" s="777" t="e">
        <f t="shared" si="6"/>
        <v>#VALUE!</v>
      </c>
      <c r="E92" s="776" t="e">
        <f t="shared" si="9"/>
        <v>#VALUE!</v>
      </c>
      <c r="F92" s="778"/>
      <c r="G92" s="778"/>
      <c r="H92" s="776" t="e">
        <f t="shared" si="7"/>
        <v>#VALUE!</v>
      </c>
    </row>
    <row r="93" spans="1:8" ht="13.5" thickBot="1">
      <c r="A93" s="775">
        <v>77</v>
      </c>
      <c r="B93" s="776" t="e">
        <f t="shared" si="8"/>
        <v>#VALUE!</v>
      </c>
      <c r="C93" s="777" t="e">
        <f t="shared" si="5"/>
        <v>#VALUE!</v>
      </c>
      <c r="D93" s="777" t="e">
        <f t="shared" si="6"/>
        <v>#VALUE!</v>
      </c>
      <c r="E93" s="776" t="e">
        <f t="shared" si="9"/>
        <v>#VALUE!</v>
      </c>
      <c r="F93" s="778"/>
      <c r="G93" s="778"/>
      <c r="H93" s="776" t="e">
        <f t="shared" si="7"/>
        <v>#VALUE!</v>
      </c>
    </row>
    <row r="94" spans="1:8" ht="13.5" thickBot="1">
      <c r="A94" s="775">
        <v>78</v>
      </c>
      <c r="B94" s="776" t="e">
        <f t="shared" si="8"/>
        <v>#VALUE!</v>
      </c>
      <c r="C94" s="777" t="e">
        <f t="shared" si="5"/>
        <v>#VALUE!</v>
      </c>
      <c r="D94" s="777" t="e">
        <f t="shared" si="6"/>
        <v>#VALUE!</v>
      </c>
      <c r="E94" s="776" t="e">
        <f t="shared" si="9"/>
        <v>#VALUE!</v>
      </c>
      <c r="F94" s="778"/>
      <c r="G94" s="778"/>
      <c r="H94" s="776" t="e">
        <f t="shared" si="7"/>
        <v>#VALUE!</v>
      </c>
    </row>
    <row r="95" spans="1:8" ht="13.5" thickBot="1">
      <c r="A95" s="775">
        <v>79</v>
      </c>
      <c r="B95" s="776" t="e">
        <f t="shared" si="8"/>
        <v>#VALUE!</v>
      </c>
      <c r="C95" s="777" t="e">
        <f t="shared" si="5"/>
        <v>#VALUE!</v>
      </c>
      <c r="D95" s="777" t="e">
        <f t="shared" si="6"/>
        <v>#VALUE!</v>
      </c>
      <c r="E95" s="776" t="e">
        <f t="shared" si="9"/>
        <v>#VALUE!</v>
      </c>
      <c r="F95" s="778"/>
      <c r="G95" s="778"/>
      <c r="H95" s="776" t="e">
        <f t="shared" si="7"/>
        <v>#VALUE!</v>
      </c>
    </row>
    <row r="96" spans="1:8" ht="13.5" thickBot="1">
      <c r="A96" s="775">
        <v>80</v>
      </c>
      <c r="B96" s="776" t="e">
        <f t="shared" si="8"/>
        <v>#VALUE!</v>
      </c>
      <c r="C96" s="777" t="e">
        <f t="shared" si="5"/>
        <v>#VALUE!</v>
      </c>
      <c r="D96" s="777" t="e">
        <f t="shared" si="6"/>
        <v>#VALUE!</v>
      </c>
      <c r="E96" s="776" t="e">
        <f t="shared" si="9"/>
        <v>#VALUE!</v>
      </c>
      <c r="F96" s="778"/>
      <c r="G96" s="778"/>
      <c r="H96" s="776" t="e">
        <f t="shared" si="7"/>
        <v>#VALUE!</v>
      </c>
    </row>
    <row r="97" spans="1:8" ht="13.5" thickBot="1">
      <c r="A97" s="775">
        <v>81</v>
      </c>
      <c r="B97" s="776" t="e">
        <f t="shared" si="8"/>
        <v>#VALUE!</v>
      </c>
      <c r="C97" s="777" t="e">
        <f t="shared" si="5"/>
        <v>#VALUE!</v>
      </c>
      <c r="D97" s="777" t="e">
        <f t="shared" si="6"/>
        <v>#VALUE!</v>
      </c>
      <c r="E97" s="776" t="e">
        <f t="shared" si="9"/>
        <v>#VALUE!</v>
      </c>
      <c r="F97" s="778"/>
      <c r="G97" s="778"/>
      <c r="H97" s="776" t="e">
        <f t="shared" si="7"/>
        <v>#VALUE!</v>
      </c>
    </row>
    <row r="98" spans="1:8" ht="13.5" thickBot="1">
      <c r="A98" s="775">
        <v>82</v>
      </c>
      <c r="B98" s="776" t="e">
        <f t="shared" si="8"/>
        <v>#VALUE!</v>
      </c>
      <c r="C98" s="777" t="e">
        <f t="shared" si="5"/>
        <v>#VALUE!</v>
      </c>
      <c r="D98" s="777" t="e">
        <f t="shared" si="6"/>
        <v>#VALUE!</v>
      </c>
      <c r="E98" s="776" t="e">
        <f t="shared" si="9"/>
        <v>#VALUE!</v>
      </c>
      <c r="F98" s="778"/>
      <c r="G98" s="778"/>
      <c r="H98" s="776" t="e">
        <f t="shared" si="7"/>
        <v>#VALUE!</v>
      </c>
    </row>
    <row r="99" spans="1:8" ht="13.5" thickBot="1">
      <c r="A99" s="775">
        <v>83</v>
      </c>
      <c r="B99" s="776" t="e">
        <f t="shared" si="8"/>
        <v>#VALUE!</v>
      </c>
      <c r="C99" s="777" t="e">
        <f t="shared" si="5"/>
        <v>#VALUE!</v>
      </c>
      <c r="D99" s="777" t="e">
        <f t="shared" si="6"/>
        <v>#VALUE!</v>
      </c>
      <c r="E99" s="776" t="e">
        <f t="shared" si="9"/>
        <v>#VALUE!</v>
      </c>
      <c r="F99" s="778"/>
      <c r="G99" s="778"/>
      <c r="H99" s="776" t="e">
        <f t="shared" si="7"/>
        <v>#VALUE!</v>
      </c>
    </row>
    <row r="100" spans="1:8" ht="13.5" thickBot="1">
      <c r="A100" s="775">
        <v>84</v>
      </c>
      <c r="B100" s="776" t="e">
        <f t="shared" si="8"/>
        <v>#VALUE!</v>
      </c>
      <c r="C100" s="777" t="e">
        <f t="shared" si="5"/>
        <v>#VALUE!</v>
      </c>
      <c r="D100" s="777" t="e">
        <f t="shared" si="6"/>
        <v>#VALUE!</v>
      </c>
      <c r="E100" s="776" t="e">
        <f t="shared" si="9"/>
        <v>#VALUE!</v>
      </c>
      <c r="F100" s="778"/>
      <c r="G100" s="778"/>
      <c r="H100" s="776" t="e">
        <f t="shared" si="7"/>
        <v>#VALUE!</v>
      </c>
    </row>
    <row r="101" spans="1:8" ht="13.5" thickBot="1">
      <c r="A101" s="775">
        <v>85</v>
      </c>
      <c r="B101" s="776" t="e">
        <f t="shared" si="8"/>
        <v>#VALUE!</v>
      </c>
      <c r="C101" s="777" t="e">
        <f t="shared" si="5"/>
        <v>#VALUE!</v>
      </c>
      <c r="D101" s="777" t="e">
        <f t="shared" si="6"/>
        <v>#VALUE!</v>
      </c>
      <c r="E101" s="776" t="e">
        <f t="shared" si="9"/>
        <v>#VALUE!</v>
      </c>
      <c r="F101" s="778"/>
      <c r="G101" s="778"/>
      <c r="H101" s="776" t="e">
        <f t="shared" si="7"/>
        <v>#VALUE!</v>
      </c>
    </row>
    <row r="102" spans="1:8" ht="13.5" thickBot="1">
      <c r="A102" s="775">
        <v>86</v>
      </c>
      <c r="B102" s="776" t="e">
        <f t="shared" si="8"/>
        <v>#VALUE!</v>
      </c>
      <c r="C102" s="777" t="e">
        <f t="shared" si="5"/>
        <v>#VALUE!</v>
      </c>
      <c r="D102" s="777" t="e">
        <f t="shared" si="6"/>
        <v>#VALUE!</v>
      </c>
      <c r="E102" s="776" t="e">
        <f t="shared" si="9"/>
        <v>#VALUE!</v>
      </c>
      <c r="F102" s="778"/>
      <c r="G102" s="778"/>
      <c r="H102" s="776" t="e">
        <f t="shared" si="7"/>
        <v>#VALUE!</v>
      </c>
    </row>
    <row r="103" spans="1:8" ht="13.5" thickBot="1">
      <c r="A103" s="775">
        <v>87</v>
      </c>
      <c r="B103" s="776" t="e">
        <f t="shared" si="8"/>
        <v>#VALUE!</v>
      </c>
      <c r="C103" s="777" t="e">
        <f t="shared" si="5"/>
        <v>#VALUE!</v>
      </c>
      <c r="D103" s="777" t="e">
        <f t="shared" si="6"/>
        <v>#VALUE!</v>
      </c>
      <c r="E103" s="776" t="e">
        <f t="shared" si="9"/>
        <v>#VALUE!</v>
      </c>
      <c r="F103" s="778"/>
      <c r="G103" s="778"/>
      <c r="H103" s="776" t="e">
        <f t="shared" si="7"/>
        <v>#VALUE!</v>
      </c>
    </row>
    <row r="104" spans="1:8" ht="13.5" thickBot="1">
      <c r="A104" s="775">
        <v>88</v>
      </c>
      <c r="B104" s="776" t="e">
        <f t="shared" si="8"/>
        <v>#VALUE!</v>
      </c>
      <c r="C104" s="777" t="e">
        <f t="shared" si="5"/>
        <v>#VALUE!</v>
      </c>
      <c r="D104" s="777" t="e">
        <f t="shared" si="6"/>
        <v>#VALUE!</v>
      </c>
      <c r="E104" s="776" t="e">
        <f t="shared" si="9"/>
        <v>#VALUE!</v>
      </c>
      <c r="F104" s="778"/>
      <c r="G104" s="778"/>
      <c r="H104" s="776" t="e">
        <f t="shared" si="7"/>
        <v>#VALUE!</v>
      </c>
    </row>
    <row r="105" spans="1:8" ht="13.5" thickBot="1">
      <c r="A105" s="775">
        <v>89</v>
      </c>
      <c r="B105" s="776" t="e">
        <f t="shared" si="8"/>
        <v>#VALUE!</v>
      </c>
      <c r="C105" s="777" t="e">
        <f t="shared" si="5"/>
        <v>#VALUE!</v>
      </c>
      <c r="D105" s="777" t="e">
        <f t="shared" si="6"/>
        <v>#VALUE!</v>
      </c>
      <c r="E105" s="776" t="e">
        <f t="shared" si="9"/>
        <v>#VALUE!</v>
      </c>
      <c r="F105" s="778"/>
      <c r="G105" s="778"/>
      <c r="H105" s="776" t="e">
        <f t="shared" si="7"/>
        <v>#VALUE!</v>
      </c>
    </row>
    <row r="106" spans="1:8" ht="13.5" thickBot="1">
      <c r="A106" s="775">
        <v>90</v>
      </c>
      <c r="B106" s="776" t="e">
        <f t="shared" si="8"/>
        <v>#VALUE!</v>
      </c>
      <c r="C106" s="777" t="e">
        <f t="shared" si="5"/>
        <v>#VALUE!</v>
      </c>
      <c r="D106" s="777" t="e">
        <f t="shared" si="6"/>
        <v>#VALUE!</v>
      </c>
      <c r="E106" s="776" t="e">
        <f t="shared" si="9"/>
        <v>#VALUE!</v>
      </c>
      <c r="F106" s="778"/>
      <c r="G106" s="778"/>
      <c r="H106" s="776" t="e">
        <f t="shared" si="7"/>
        <v>#VALUE!</v>
      </c>
    </row>
    <row r="107" spans="1:8" ht="13.5" thickBot="1">
      <c r="A107" s="775">
        <v>91</v>
      </c>
      <c r="B107" s="776" t="e">
        <f t="shared" si="8"/>
        <v>#VALUE!</v>
      </c>
      <c r="C107" s="777" t="e">
        <f t="shared" si="5"/>
        <v>#VALUE!</v>
      </c>
      <c r="D107" s="777" t="e">
        <f t="shared" si="6"/>
        <v>#VALUE!</v>
      </c>
      <c r="E107" s="776" t="e">
        <f t="shared" si="9"/>
        <v>#VALUE!</v>
      </c>
      <c r="F107" s="778"/>
      <c r="G107" s="778"/>
      <c r="H107" s="776" t="e">
        <f t="shared" si="7"/>
        <v>#VALUE!</v>
      </c>
    </row>
    <row r="108" spans="1:8" ht="13.5" thickBot="1">
      <c r="A108" s="775">
        <v>92</v>
      </c>
      <c r="B108" s="776" t="e">
        <f t="shared" si="8"/>
        <v>#VALUE!</v>
      </c>
      <c r="C108" s="777" t="e">
        <f t="shared" si="5"/>
        <v>#VALUE!</v>
      </c>
      <c r="D108" s="777" t="e">
        <f t="shared" si="6"/>
        <v>#VALUE!</v>
      </c>
      <c r="E108" s="776" t="e">
        <f t="shared" si="9"/>
        <v>#VALUE!</v>
      </c>
      <c r="F108" s="778"/>
      <c r="G108" s="778"/>
      <c r="H108" s="776" t="e">
        <f t="shared" si="7"/>
        <v>#VALUE!</v>
      </c>
    </row>
    <row r="109" spans="1:8" ht="13.5" thickBot="1">
      <c r="A109" s="775">
        <v>93</v>
      </c>
      <c r="B109" s="776" t="e">
        <f t="shared" si="8"/>
        <v>#VALUE!</v>
      </c>
      <c r="C109" s="777" t="e">
        <f t="shared" si="5"/>
        <v>#VALUE!</v>
      </c>
      <c r="D109" s="777" t="e">
        <f t="shared" si="6"/>
        <v>#VALUE!</v>
      </c>
      <c r="E109" s="776" t="e">
        <f t="shared" si="9"/>
        <v>#VALUE!</v>
      </c>
      <c r="F109" s="778"/>
      <c r="G109" s="778"/>
      <c r="H109" s="776" t="e">
        <f t="shared" si="7"/>
        <v>#VALUE!</v>
      </c>
    </row>
    <row r="110" spans="1:8" ht="13.5" thickBot="1">
      <c r="A110" s="775">
        <v>94</v>
      </c>
      <c r="B110" s="776" t="e">
        <f t="shared" si="8"/>
        <v>#VALUE!</v>
      </c>
      <c r="C110" s="777" t="e">
        <f t="shared" si="5"/>
        <v>#VALUE!</v>
      </c>
      <c r="D110" s="777" t="e">
        <f t="shared" si="6"/>
        <v>#VALUE!</v>
      </c>
      <c r="E110" s="776" t="e">
        <f t="shared" si="9"/>
        <v>#VALUE!</v>
      </c>
      <c r="F110" s="778"/>
      <c r="G110" s="778"/>
      <c r="H110" s="776" t="e">
        <f t="shared" si="7"/>
        <v>#VALUE!</v>
      </c>
    </row>
    <row r="111" spans="1:8" ht="13.5" thickBot="1">
      <c r="A111" s="775">
        <v>95</v>
      </c>
      <c r="B111" s="776" t="e">
        <f t="shared" si="8"/>
        <v>#VALUE!</v>
      </c>
      <c r="C111" s="777" t="e">
        <f t="shared" si="5"/>
        <v>#VALUE!</v>
      </c>
      <c r="D111" s="777" t="e">
        <f t="shared" si="6"/>
        <v>#VALUE!</v>
      </c>
      <c r="E111" s="776" t="e">
        <f t="shared" si="9"/>
        <v>#VALUE!</v>
      </c>
      <c r="F111" s="778"/>
      <c r="G111" s="778"/>
      <c r="H111" s="776" t="e">
        <f t="shared" si="7"/>
        <v>#VALUE!</v>
      </c>
    </row>
    <row r="112" spans="1:8" ht="13.5" thickBot="1">
      <c r="A112" s="775">
        <v>96</v>
      </c>
      <c r="B112" s="776" t="e">
        <f t="shared" si="8"/>
        <v>#VALUE!</v>
      </c>
      <c r="C112" s="777" t="e">
        <f t="shared" si="5"/>
        <v>#VALUE!</v>
      </c>
      <c r="D112" s="777" t="e">
        <f t="shared" si="6"/>
        <v>#VALUE!</v>
      </c>
      <c r="E112" s="776" t="e">
        <f t="shared" si="9"/>
        <v>#VALUE!</v>
      </c>
      <c r="F112" s="778"/>
      <c r="G112" s="778"/>
      <c r="H112" s="776" t="e">
        <f t="shared" si="7"/>
        <v>#VALUE!</v>
      </c>
    </row>
    <row r="113" spans="1:8" ht="13.5" thickBot="1">
      <c r="A113" s="775">
        <v>97</v>
      </c>
      <c r="B113" s="776" t="e">
        <f t="shared" si="8"/>
        <v>#VALUE!</v>
      </c>
      <c r="C113" s="777" t="e">
        <f t="shared" si="5"/>
        <v>#VALUE!</v>
      </c>
      <c r="D113" s="777" t="e">
        <f t="shared" si="6"/>
        <v>#VALUE!</v>
      </c>
      <c r="E113" s="776" t="e">
        <f t="shared" si="9"/>
        <v>#VALUE!</v>
      </c>
      <c r="F113" s="778"/>
      <c r="G113" s="778"/>
      <c r="H113" s="776" t="e">
        <f t="shared" si="7"/>
        <v>#VALUE!</v>
      </c>
    </row>
    <row r="114" spans="1:8" ht="13.5" thickBot="1">
      <c r="A114" s="775">
        <v>98</v>
      </c>
      <c r="B114" s="776" t="e">
        <f t="shared" si="8"/>
        <v>#VALUE!</v>
      </c>
      <c r="C114" s="777" t="e">
        <f t="shared" si="5"/>
        <v>#VALUE!</v>
      </c>
      <c r="D114" s="777" t="e">
        <f t="shared" si="6"/>
        <v>#VALUE!</v>
      </c>
      <c r="E114" s="776" t="e">
        <f t="shared" si="9"/>
        <v>#VALUE!</v>
      </c>
      <c r="F114" s="778"/>
      <c r="G114" s="778"/>
      <c r="H114" s="776" t="e">
        <f t="shared" si="7"/>
        <v>#VALUE!</v>
      </c>
    </row>
    <row r="115" spans="1:8" ht="13.5" thickBot="1">
      <c r="A115" s="775">
        <v>99</v>
      </c>
      <c r="B115" s="776" t="e">
        <f t="shared" si="8"/>
        <v>#VALUE!</v>
      </c>
      <c r="C115" s="777" t="e">
        <f t="shared" si="5"/>
        <v>#VALUE!</v>
      </c>
      <c r="D115" s="777" t="e">
        <f t="shared" si="6"/>
        <v>#VALUE!</v>
      </c>
      <c r="E115" s="776" t="e">
        <f t="shared" si="9"/>
        <v>#VALUE!</v>
      </c>
      <c r="F115" s="778"/>
      <c r="G115" s="778"/>
      <c r="H115" s="776" t="e">
        <f t="shared" si="7"/>
        <v>#VALUE!</v>
      </c>
    </row>
    <row r="116" spans="1:8" ht="13.5" thickBot="1">
      <c r="A116" s="775">
        <v>100</v>
      </c>
      <c r="B116" s="776" t="e">
        <f t="shared" si="8"/>
        <v>#VALUE!</v>
      </c>
      <c r="C116" s="777" t="e">
        <f t="shared" si="5"/>
        <v>#VALUE!</v>
      </c>
      <c r="D116" s="777" t="e">
        <f t="shared" si="6"/>
        <v>#VALUE!</v>
      </c>
      <c r="E116" s="776" t="e">
        <f t="shared" si="9"/>
        <v>#VALUE!</v>
      </c>
      <c r="F116" s="778"/>
      <c r="G116" s="778"/>
      <c r="H116" s="776" t="e">
        <f t="shared" si="7"/>
        <v>#VALUE!</v>
      </c>
    </row>
    <row r="117" spans="1:8" ht="13.5" thickBot="1">
      <c r="A117" s="775">
        <v>101</v>
      </c>
      <c r="B117" s="776" t="e">
        <f t="shared" si="8"/>
        <v>#VALUE!</v>
      </c>
      <c r="C117" s="777" t="e">
        <f t="shared" si="5"/>
        <v>#VALUE!</v>
      </c>
      <c r="D117" s="777" t="e">
        <f t="shared" si="6"/>
        <v>#VALUE!</v>
      </c>
      <c r="E117" s="776" t="e">
        <f t="shared" si="9"/>
        <v>#VALUE!</v>
      </c>
      <c r="F117" s="778"/>
      <c r="G117" s="778"/>
      <c r="H117" s="776" t="e">
        <f t="shared" si="7"/>
        <v>#VALUE!</v>
      </c>
    </row>
    <row r="118" spans="1:8" ht="13.5" thickBot="1">
      <c r="A118" s="775">
        <v>102</v>
      </c>
      <c r="B118" s="776" t="e">
        <f t="shared" si="8"/>
        <v>#VALUE!</v>
      </c>
      <c r="C118" s="777" t="e">
        <f t="shared" si="5"/>
        <v>#VALUE!</v>
      </c>
      <c r="D118" s="777" t="e">
        <f t="shared" si="6"/>
        <v>#VALUE!</v>
      </c>
      <c r="E118" s="776" t="e">
        <f t="shared" si="9"/>
        <v>#VALUE!</v>
      </c>
      <c r="F118" s="778"/>
      <c r="G118" s="778"/>
      <c r="H118" s="776" t="e">
        <f t="shared" si="7"/>
        <v>#VALUE!</v>
      </c>
    </row>
    <row r="119" spans="1:8" ht="13.5" thickBot="1">
      <c r="A119" s="775">
        <v>103</v>
      </c>
      <c r="B119" s="776" t="e">
        <f t="shared" si="8"/>
        <v>#VALUE!</v>
      </c>
      <c r="C119" s="777" t="e">
        <f t="shared" si="5"/>
        <v>#VALUE!</v>
      </c>
      <c r="D119" s="777" t="e">
        <f t="shared" si="6"/>
        <v>#VALUE!</v>
      </c>
      <c r="E119" s="776" t="e">
        <f t="shared" si="9"/>
        <v>#VALUE!</v>
      </c>
      <c r="F119" s="778"/>
      <c r="G119" s="778"/>
      <c r="H119" s="776" t="e">
        <f t="shared" si="7"/>
        <v>#VALUE!</v>
      </c>
    </row>
    <row r="120" spans="1:8" ht="13.5" thickBot="1">
      <c r="A120" s="775">
        <v>104</v>
      </c>
      <c r="B120" s="776" t="e">
        <f t="shared" si="8"/>
        <v>#VALUE!</v>
      </c>
      <c r="C120" s="777" t="e">
        <f t="shared" si="5"/>
        <v>#VALUE!</v>
      </c>
      <c r="D120" s="777" t="e">
        <f t="shared" si="6"/>
        <v>#VALUE!</v>
      </c>
      <c r="E120" s="776" t="e">
        <f t="shared" si="9"/>
        <v>#VALUE!</v>
      </c>
      <c r="F120" s="778"/>
      <c r="G120" s="778"/>
      <c r="H120" s="776" t="e">
        <f t="shared" si="7"/>
        <v>#VALUE!</v>
      </c>
    </row>
    <row r="121" spans="1:8" ht="13.5" thickBot="1">
      <c r="A121" s="775">
        <v>105</v>
      </c>
      <c r="B121" s="776" t="e">
        <f t="shared" si="8"/>
        <v>#VALUE!</v>
      </c>
      <c r="C121" s="777" t="e">
        <f t="shared" si="5"/>
        <v>#VALUE!</v>
      </c>
      <c r="D121" s="777" t="e">
        <f t="shared" si="6"/>
        <v>#VALUE!</v>
      </c>
      <c r="E121" s="776" t="e">
        <f t="shared" si="9"/>
        <v>#VALUE!</v>
      </c>
      <c r="F121" s="778"/>
      <c r="G121" s="778"/>
      <c r="H121" s="776" t="e">
        <f t="shared" si="7"/>
        <v>#VALUE!</v>
      </c>
    </row>
    <row r="122" spans="1:8" ht="13.5" thickBot="1">
      <c r="A122" s="775">
        <v>106</v>
      </c>
      <c r="B122" s="776" t="e">
        <f t="shared" si="8"/>
        <v>#VALUE!</v>
      </c>
      <c r="C122" s="777" t="e">
        <f t="shared" si="5"/>
        <v>#VALUE!</v>
      </c>
      <c r="D122" s="777" t="e">
        <f t="shared" si="6"/>
        <v>#VALUE!</v>
      </c>
      <c r="E122" s="776" t="e">
        <f t="shared" si="9"/>
        <v>#VALUE!</v>
      </c>
      <c r="F122" s="778"/>
      <c r="G122" s="778"/>
      <c r="H122" s="776" t="e">
        <f t="shared" si="7"/>
        <v>#VALUE!</v>
      </c>
    </row>
    <row r="123" spans="1:8" ht="13.5" thickBot="1">
      <c r="A123" s="775">
        <v>107</v>
      </c>
      <c r="B123" s="776" t="e">
        <f t="shared" si="8"/>
        <v>#VALUE!</v>
      </c>
      <c r="C123" s="777" t="e">
        <f t="shared" si="5"/>
        <v>#VALUE!</v>
      </c>
      <c r="D123" s="777" t="e">
        <f t="shared" si="6"/>
        <v>#VALUE!</v>
      </c>
      <c r="E123" s="776" t="e">
        <f t="shared" si="9"/>
        <v>#VALUE!</v>
      </c>
      <c r="F123" s="778"/>
      <c r="G123" s="778"/>
      <c r="H123" s="776" t="e">
        <f t="shared" si="7"/>
        <v>#VALUE!</v>
      </c>
    </row>
    <row r="124" spans="1:8" ht="13.5" thickBot="1">
      <c r="A124" s="775">
        <v>108</v>
      </c>
      <c r="B124" s="776" t="e">
        <f t="shared" si="8"/>
        <v>#VALUE!</v>
      </c>
      <c r="C124" s="777" t="e">
        <f t="shared" si="5"/>
        <v>#VALUE!</v>
      </c>
      <c r="D124" s="777" t="e">
        <f t="shared" si="6"/>
        <v>#VALUE!</v>
      </c>
      <c r="E124" s="776" t="e">
        <f t="shared" si="9"/>
        <v>#VALUE!</v>
      </c>
      <c r="F124" s="778"/>
      <c r="G124" s="778"/>
      <c r="H124" s="776" t="e">
        <f t="shared" si="7"/>
        <v>#VALUE!</v>
      </c>
    </row>
    <row r="125" spans="1:8" ht="13.5" thickBot="1">
      <c r="A125" s="775">
        <v>109</v>
      </c>
      <c r="B125" s="776" t="e">
        <f t="shared" si="8"/>
        <v>#VALUE!</v>
      </c>
      <c r="C125" s="777" t="e">
        <f t="shared" si="5"/>
        <v>#VALUE!</v>
      </c>
      <c r="D125" s="777" t="e">
        <f t="shared" si="6"/>
        <v>#VALUE!</v>
      </c>
      <c r="E125" s="776" t="e">
        <f t="shared" si="9"/>
        <v>#VALUE!</v>
      </c>
      <c r="F125" s="778"/>
      <c r="G125" s="778"/>
      <c r="H125" s="776" t="e">
        <f t="shared" si="7"/>
        <v>#VALUE!</v>
      </c>
    </row>
    <row r="126" spans="1:8" ht="13.5" thickBot="1">
      <c r="A126" s="775">
        <v>110</v>
      </c>
      <c r="B126" s="776" t="e">
        <f t="shared" si="8"/>
        <v>#VALUE!</v>
      </c>
      <c r="C126" s="777" t="e">
        <f t="shared" si="5"/>
        <v>#VALUE!</v>
      </c>
      <c r="D126" s="777" t="e">
        <f t="shared" si="6"/>
        <v>#VALUE!</v>
      </c>
      <c r="E126" s="776" t="e">
        <f t="shared" si="9"/>
        <v>#VALUE!</v>
      </c>
      <c r="F126" s="778"/>
      <c r="G126" s="778"/>
      <c r="H126" s="776" t="e">
        <f t="shared" si="7"/>
        <v>#VALUE!</v>
      </c>
    </row>
    <row r="127" spans="1:8" ht="13.5" thickBot="1">
      <c r="A127" s="775">
        <v>111</v>
      </c>
      <c r="B127" s="776" t="e">
        <f t="shared" si="8"/>
        <v>#VALUE!</v>
      </c>
      <c r="C127" s="777" t="e">
        <f t="shared" si="5"/>
        <v>#VALUE!</v>
      </c>
      <c r="D127" s="777" t="e">
        <f t="shared" si="6"/>
        <v>#VALUE!</v>
      </c>
      <c r="E127" s="776" t="e">
        <f t="shared" si="9"/>
        <v>#VALUE!</v>
      </c>
      <c r="F127" s="778"/>
      <c r="G127" s="778"/>
      <c r="H127" s="776" t="e">
        <f t="shared" si="7"/>
        <v>#VALUE!</v>
      </c>
    </row>
    <row r="128" spans="1:8" ht="13.5" thickBot="1">
      <c r="A128" s="775">
        <v>112</v>
      </c>
      <c r="B128" s="776" t="e">
        <f t="shared" si="8"/>
        <v>#VALUE!</v>
      </c>
      <c r="C128" s="777" t="e">
        <f t="shared" si="5"/>
        <v>#VALUE!</v>
      </c>
      <c r="D128" s="777" t="e">
        <f t="shared" si="6"/>
        <v>#VALUE!</v>
      </c>
      <c r="E128" s="776" t="e">
        <f t="shared" si="9"/>
        <v>#VALUE!</v>
      </c>
      <c r="F128" s="778"/>
      <c r="G128" s="778"/>
      <c r="H128" s="776" t="e">
        <f t="shared" si="7"/>
        <v>#VALUE!</v>
      </c>
    </row>
    <row r="129" spans="1:8" ht="13.5" thickBot="1">
      <c r="A129" s="775">
        <v>113</v>
      </c>
      <c r="B129" s="776" t="e">
        <f t="shared" si="8"/>
        <v>#VALUE!</v>
      </c>
      <c r="C129" s="777" t="e">
        <f t="shared" si="5"/>
        <v>#VALUE!</v>
      </c>
      <c r="D129" s="777" t="e">
        <f t="shared" si="6"/>
        <v>#VALUE!</v>
      </c>
      <c r="E129" s="776" t="e">
        <f t="shared" si="9"/>
        <v>#VALUE!</v>
      </c>
      <c r="F129" s="778"/>
      <c r="G129" s="778"/>
      <c r="H129" s="776" t="e">
        <f t="shared" si="7"/>
        <v>#VALUE!</v>
      </c>
    </row>
    <row r="130" spans="1:8" ht="13.5" thickBot="1">
      <c r="A130" s="775">
        <v>114</v>
      </c>
      <c r="B130" s="776" t="e">
        <f t="shared" si="8"/>
        <v>#VALUE!</v>
      </c>
      <c r="C130" s="777" t="e">
        <f t="shared" si="5"/>
        <v>#VALUE!</v>
      </c>
      <c r="D130" s="777" t="e">
        <f t="shared" si="6"/>
        <v>#VALUE!</v>
      </c>
      <c r="E130" s="776" t="e">
        <f t="shared" si="9"/>
        <v>#VALUE!</v>
      </c>
      <c r="F130" s="778"/>
      <c r="G130" s="778"/>
      <c r="H130" s="776" t="e">
        <f t="shared" si="7"/>
        <v>#VALUE!</v>
      </c>
    </row>
    <row r="131" spans="1:8" ht="13.5" thickBot="1">
      <c r="A131" s="775">
        <v>115</v>
      </c>
      <c r="B131" s="776" t="e">
        <f t="shared" si="8"/>
        <v>#VALUE!</v>
      </c>
      <c r="C131" s="777" t="e">
        <f t="shared" si="5"/>
        <v>#VALUE!</v>
      </c>
      <c r="D131" s="777" t="e">
        <f t="shared" si="6"/>
        <v>#VALUE!</v>
      </c>
      <c r="E131" s="776" t="e">
        <f t="shared" si="9"/>
        <v>#VALUE!</v>
      </c>
      <c r="F131" s="778"/>
      <c r="G131" s="778"/>
      <c r="H131" s="776" t="e">
        <f t="shared" si="7"/>
        <v>#VALUE!</v>
      </c>
    </row>
    <row r="132" spans="1:8" ht="13.5" thickBot="1">
      <c r="A132" s="775">
        <v>116</v>
      </c>
      <c r="B132" s="776" t="e">
        <f t="shared" si="8"/>
        <v>#VALUE!</v>
      </c>
      <c r="C132" s="777" t="e">
        <f t="shared" si="5"/>
        <v>#VALUE!</v>
      </c>
      <c r="D132" s="777" t="e">
        <f t="shared" si="6"/>
        <v>#VALUE!</v>
      </c>
      <c r="E132" s="776" t="e">
        <f t="shared" si="9"/>
        <v>#VALUE!</v>
      </c>
      <c r="F132" s="778"/>
      <c r="G132" s="778"/>
      <c r="H132" s="776" t="e">
        <f t="shared" si="7"/>
        <v>#VALUE!</v>
      </c>
    </row>
    <row r="133" spans="1:8" ht="13.5" thickBot="1">
      <c r="A133" s="775">
        <v>117</v>
      </c>
      <c r="B133" s="776" t="e">
        <f t="shared" si="8"/>
        <v>#VALUE!</v>
      </c>
      <c r="C133" s="777" t="e">
        <f t="shared" si="5"/>
        <v>#VALUE!</v>
      </c>
      <c r="D133" s="777" t="e">
        <f t="shared" si="6"/>
        <v>#VALUE!</v>
      </c>
      <c r="E133" s="776" t="e">
        <f t="shared" si="9"/>
        <v>#VALUE!</v>
      </c>
      <c r="F133" s="778"/>
      <c r="G133" s="778"/>
      <c r="H133" s="776" t="e">
        <f t="shared" si="7"/>
        <v>#VALUE!</v>
      </c>
    </row>
    <row r="134" spans="1:8" ht="13.5" thickBot="1">
      <c r="A134" s="775">
        <v>118</v>
      </c>
      <c r="B134" s="776" t="e">
        <f t="shared" si="8"/>
        <v>#VALUE!</v>
      </c>
      <c r="C134" s="777" t="e">
        <f t="shared" si="5"/>
        <v>#VALUE!</v>
      </c>
      <c r="D134" s="777" t="e">
        <f t="shared" si="6"/>
        <v>#VALUE!</v>
      </c>
      <c r="E134" s="776" t="e">
        <f t="shared" si="9"/>
        <v>#VALUE!</v>
      </c>
      <c r="F134" s="778"/>
      <c r="G134" s="778"/>
      <c r="H134" s="776" t="e">
        <f t="shared" si="7"/>
        <v>#VALUE!</v>
      </c>
    </row>
    <row r="135" spans="1:8" ht="13.5" thickBot="1">
      <c r="A135" s="775">
        <v>119</v>
      </c>
      <c r="B135" s="776" t="e">
        <f t="shared" si="8"/>
        <v>#VALUE!</v>
      </c>
      <c r="C135" s="777" t="e">
        <f t="shared" si="5"/>
        <v>#VALUE!</v>
      </c>
      <c r="D135" s="777" t="e">
        <f t="shared" si="6"/>
        <v>#VALUE!</v>
      </c>
      <c r="E135" s="776" t="e">
        <f t="shared" si="9"/>
        <v>#VALUE!</v>
      </c>
      <c r="F135" s="778"/>
      <c r="G135" s="778"/>
      <c r="H135" s="776" t="e">
        <f t="shared" si="7"/>
        <v>#VALUE!</v>
      </c>
    </row>
    <row r="136" spans="1:8" ht="13.5" thickBot="1">
      <c r="A136" s="775">
        <v>120</v>
      </c>
      <c r="B136" s="776" t="e">
        <f t="shared" si="8"/>
        <v>#VALUE!</v>
      </c>
      <c r="C136" s="777" t="e">
        <f t="shared" si="5"/>
        <v>#VALUE!</v>
      </c>
      <c r="D136" s="777" t="e">
        <f t="shared" si="6"/>
        <v>#VALUE!</v>
      </c>
      <c r="E136" s="776" t="e">
        <f t="shared" si="9"/>
        <v>#VALUE!</v>
      </c>
      <c r="F136" s="778"/>
      <c r="G136" s="778"/>
      <c r="H136" s="776" t="e">
        <f t="shared" si="7"/>
        <v>#VALUE!</v>
      </c>
    </row>
    <row r="137" spans="1:8" ht="13.5" thickBot="1">
      <c r="A137" s="775">
        <v>121</v>
      </c>
      <c r="B137" s="776" t="e">
        <f t="shared" ref="B137:B200" si="10">H136</f>
        <v>#VALUE!</v>
      </c>
      <c r="C137" s="777" t="e">
        <f t="shared" si="5"/>
        <v>#VALUE!</v>
      </c>
      <c r="D137" s="777" t="e">
        <f t="shared" si="6"/>
        <v>#VALUE!</v>
      </c>
      <c r="E137" s="776" t="e">
        <f t="shared" si="9"/>
        <v>#VALUE!</v>
      </c>
      <c r="F137" s="778"/>
      <c r="G137" s="778"/>
      <c r="H137" s="776" t="e">
        <f t="shared" si="7"/>
        <v>#VALUE!</v>
      </c>
    </row>
    <row r="138" spans="1:8" ht="13.5" thickBot="1">
      <c r="A138" s="775">
        <v>122</v>
      </c>
      <c r="B138" s="776" t="e">
        <f t="shared" si="10"/>
        <v>#VALUE!</v>
      </c>
      <c r="C138" s="777" t="e">
        <f t="shared" si="5"/>
        <v>#VALUE!</v>
      </c>
      <c r="D138" s="777" t="e">
        <f t="shared" si="6"/>
        <v>#VALUE!</v>
      </c>
      <c r="E138" s="776" t="e">
        <f t="shared" si="9"/>
        <v>#VALUE!</v>
      </c>
      <c r="F138" s="778"/>
      <c r="G138" s="778"/>
      <c r="H138" s="776" t="e">
        <f t="shared" si="7"/>
        <v>#VALUE!</v>
      </c>
    </row>
    <row r="139" spans="1:8" ht="13.5" thickBot="1">
      <c r="A139" s="775">
        <v>123</v>
      </c>
      <c r="B139" s="776" t="e">
        <f t="shared" si="10"/>
        <v>#VALUE!</v>
      </c>
      <c r="C139" s="777" t="e">
        <f t="shared" si="5"/>
        <v>#VALUE!</v>
      </c>
      <c r="D139" s="777" t="e">
        <f t="shared" si="6"/>
        <v>#VALUE!</v>
      </c>
      <c r="E139" s="776" t="e">
        <f t="shared" si="9"/>
        <v>#VALUE!</v>
      </c>
      <c r="F139" s="778"/>
      <c r="G139" s="778"/>
      <c r="H139" s="776" t="e">
        <f t="shared" si="7"/>
        <v>#VALUE!</v>
      </c>
    </row>
    <row r="140" spans="1:8" ht="13.5" thickBot="1">
      <c r="A140" s="775">
        <v>124</v>
      </c>
      <c r="B140" s="776" t="e">
        <f t="shared" si="10"/>
        <v>#VALUE!</v>
      </c>
      <c r="C140" s="777" t="e">
        <f t="shared" si="5"/>
        <v>#VALUE!</v>
      </c>
      <c r="D140" s="777" t="e">
        <f t="shared" si="6"/>
        <v>#VALUE!</v>
      </c>
      <c r="E140" s="776" t="e">
        <f t="shared" si="9"/>
        <v>#VALUE!</v>
      </c>
      <c r="F140" s="778"/>
      <c r="G140" s="778"/>
      <c r="H140" s="776" t="e">
        <f t="shared" si="7"/>
        <v>#VALUE!</v>
      </c>
    </row>
    <row r="141" spans="1:8" ht="13.5" thickBot="1">
      <c r="A141" s="775">
        <v>125</v>
      </c>
      <c r="B141" s="776" t="e">
        <f t="shared" si="10"/>
        <v>#VALUE!</v>
      </c>
      <c r="C141" s="777" t="e">
        <f t="shared" si="5"/>
        <v>#VALUE!</v>
      </c>
      <c r="D141" s="777" t="e">
        <f t="shared" si="6"/>
        <v>#VALUE!</v>
      </c>
      <c r="E141" s="776" t="e">
        <f t="shared" si="9"/>
        <v>#VALUE!</v>
      </c>
      <c r="F141" s="778"/>
      <c r="G141" s="778"/>
      <c r="H141" s="776" t="e">
        <f t="shared" si="7"/>
        <v>#VALUE!</v>
      </c>
    </row>
    <row r="142" spans="1:8" ht="13.5" thickBot="1">
      <c r="A142" s="775">
        <v>126</v>
      </c>
      <c r="B142" s="776" t="e">
        <f t="shared" si="10"/>
        <v>#VALUE!</v>
      </c>
      <c r="C142" s="777" t="e">
        <f t="shared" si="5"/>
        <v>#VALUE!</v>
      </c>
      <c r="D142" s="777" t="e">
        <f t="shared" si="6"/>
        <v>#VALUE!</v>
      </c>
      <c r="E142" s="776" t="e">
        <f t="shared" si="9"/>
        <v>#VALUE!</v>
      </c>
      <c r="F142" s="778"/>
      <c r="G142" s="778"/>
      <c r="H142" s="776" t="e">
        <f t="shared" si="7"/>
        <v>#VALUE!</v>
      </c>
    </row>
    <row r="143" spans="1:8" ht="13.5" thickBot="1">
      <c r="A143" s="775">
        <v>127</v>
      </c>
      <c r="B143" s="776" t="e">
        <f t="shared" si="10"/>
        <v>#VALUE!</v>
      </c>
      <c r="C143" s="777" t="e">
        <f t="shared" si="5"/>
        <v>#VALUE!</v>
      </c>
      <c r="D143" s="777" t="e">
        <f t="shared" si="6"/>
        <v>#VALUE!</v>
      </c>
      <c r="E143" s="776" t="e">
        <f t="shared" si="9"/>
        <v>#VALUE!</v>
      </c>
      <c r="F143" s="778"/>
      <c r="G143" s="778"/>
      <c r="H143" s="776" t="e">
        <f t="shared" si="7"/>
        <v>#VALUE!</v>
      </c>
    </row>
    <row r="144" spans="1:8" ht="13.5" thickBot="1">
      <c r="A144" s="775">
        <v>128</v>
      </c>
      <c r="B144" s="776" t="e">
        <f t="shared" si="10"/>
        <v>#VALUE!</v>
      </c>
      <c r="C144" s="777" t="e">
        <f t="shared" si="5"/>
        <v>#VALUE!</v>
      </c>
      <c r="D144" s="777" t="e">
        <f t="shared" si="6"/>
        <v>#VALUE!</v>
      </c>
      <c r="E144" s="776" t="e">
        <f t="shared" si="9"/>
        <v>#VALUE!</v>
      </c>
      <c r="F144" s="778"/>
      <c r="G144" s="778"/>
      <c r="H144" s="776" t="e">
        <f t="shared" si="7"/>
        <v>#VALUE!</v>
      </c>
    </row>
    <row r="145" spans="1:8" ht="13.5" thickBot="1">
      <c r="A145" s="775">
        <v>129</v>
      </c>
      <c r="B145" s="776" t="e">
        <f t="shared" si="10"/>
        <v>#VALUE!</v>
      </c>
      <c r="C145" s="777" t="e">
        <f t="shared" si="5"/>
        <v>#VALUE!</v>
      </c>
      <c r="D145" s="777" t="e">
        <f t="shared" si="6"/>
        <v>#VALUE!</v>
      </c>
      <c r="E145" s="776" t="e">
        <f t="shared" si="9"/>
        <v>#VALUE!</v>
      </c>
      <c r="F145" s="778"/>
      <c r="G145" s="778"/>
      <c r="H145" s="776" t="e">
        <f t="shared" si="7"/>
        <v>#VALUE!</v>
      </c>
    </row>
    <row r="146" spans="1:8" ht="13.5" thickBot="1">
      <c r="A146" s="775">
        <v>130</v>
      </c>
      <c r="B146" s="776" t="e">
        <f t="shared" si="10"/>
        <v>#VALUE!</v>
      </c>
      <c r="C146" s="777" t="e">
        <f t="shared" ref="C146:C209" si="11">$B$14</f>
        <v>#VALUE!</v>
      </c>
      <c r="D146" s="777" t="e">
        <f t="shared" ref="D146:D209" si="12">$C146-$E146</f>
        <v>#VALUE!</v>
      </c>
      <c r="E146" s="776" t="e">
        <f t="shared" si="9"/>
        <v>#VALUE!</v>
      </c>
      <c r="F146" s="778"/>
      <c r="G146" s="778"/>
      <c r="H146" s="776" t="e">
        <f t="shared" ref="H146:H196" si="13">$B146-$D146</f>
        <v>#VALUE!</v>
      </c>
    </row>
    <row r="147" spans="1:8" ht="13.5" thickBot="1">
      <c r="A147" s="775">
        <v>131</v>
      </c>
      <c r="B147" s="776" t="e">
        <f t="shared" si="10"/>
        <v>#VALUE!</v>
      </c>
      <c r="C147" s="777" t="e">
        <f t="shared" si="11"/>
        <v>#VALUE!</v>
      </c>
      <c r="D147" s="777" t="e">
        <f t="shared" si="12"/>
        <v>#VALUE!</v>
      </c>
      <c r="E147" s="776" t="e">
        <f t="shared" si="9"/>
        <v>#VALUE!</v>
      </c>
      <c r="F147" s="778"/>
      <c r="G147" s="778"/>
      <c r="H147" s="776" t="e">
        <f t="shared" si="13"/>
        <v>#VALUE!</v>
      </c>
    </row>
    <row r="148" spans="1:8" ht="13.5" thickBot="1">
      <c r="A148" s="775">
        <v>132</v>
      </c>
      <c r="B148" s="776" t="e">
        <f t="shared" si="10"/>
        <v>#VALUE!</v>
      </c>
      <c r="C148" s="777" t="e">
        <f t="shared" si="11"/>
        <v>#VALUE!</v>
      </c>
      <c r="D148" s="777" t="e">
        <f t="shared" si="12"/>
        <v>#VALUE!</v>
      </c>
      <c r="E148" s="776" t="e">
        <f t="shared" si="9"/>
        <v>#VALUE!</v>
      </c>
      <c r="F148" s="778"/>
      <c r="G148" s="778"/>
      <c r="H148" s="776" t="e">
        <f t="shared" si="13"/>
        <v>#VALUE!</v>
      </c>
    </row>
    <row r="149" spans="1:8" ht="13.5" thickBot="1">
      <c r="A149" s="775">
        <v>133</v>
      </c>
      <c r="B149" s="776" t="e">
        <f t="shared" si="10"/>
        <v>#VALUE!</v>
      </c>
      <c r="C149" s="777" t="e">
        <f t="shared" si="11"/>
        <v>#VALUE!</v>
      </c>
      <c r="D149" s="777" t="e">
        <f t="shared" si="12"/>
        <v>#VALUE!</v>
      </c>
      <c r="E149" s="776" t="e">
        <f t="shared" si="9"/>
        <v>#VALUE!</v>
      </c>
      <c r="F149" s="778"/>
      <c r="G149" s="778"/>
      <c r="H149" s="776" t="e">
        <f t="shared" si="13"/>
        <v>#VALUE!</v>
      </c>
    </row>
    <row r="150" spans="1:8" ht="13.5" thickBot="1">
      <c r="A150" s="775">
        <v>134</v>
      </c>
      <c r="B150" s="776" t="e">
        <f t="shared" si="10"/>
        <v>#VALUE!</v>
      </c>
      <c r="C150" s="777" t="e">
        <f t="shared" si="11"/>
        <v>#VALUE!</v>
      </c>
      <c r="D150" s="777" t="e">
        <f t="shared" si="12"/>
        <v>#VALUE!</v>
      </c>
      <c r="E150" s="776" t="e">
        <f t="shared" ref="E150:E213" si="14">IF($B150*$B$5&gt;0,$B150*$B$5,0)</f>
        <v>#VALUE!</v>
      </c>
      <c r="F150" s="778"/>
      <c r="G150" s="778"/>
      <c r="H150" s="776" t="e">
        <f t="shared" si="13"/>
        <v>#VALUE!</v>
      </c>
    </row>
    <row r="151" spans="1:8" ht="13.5" thickBot="1">
      <c r="A151" s="775">
        <v>135</v>
      </c>
      <c r="B151" s="776" t="e">
        <f t="shared" si="10"/>
        <v>#VALUE!</v>
      </c>
      <c r="C151" s="777" t="e">
        <f t="shared" si="11"/>
        <v>#VALUE!</v>
      </c>
      <c r="D151" s="777" t="e">
        <f t="shared" si="12"/>
        <v>#VALUE!</v>
      </c>
      <c r="E151" s="776" t="e">
        <f t="shared" si="14"/>
        <v>#VALUE!</v>
      </c>
      <c r="F151" s="778"/>
      <c r="G151" s="778"/>
      <c r="H151" s="776" t="e">
        <f t="shared" si="13"/>
        <v>#VALUE!</v>
      </c>
    </row>
    <row r="152" spans="1:8" ht="13.5" thickBot="1">
      <c r="A152" s="775">
        <v>136</v>
      </c>
      <c r="B152" s="776" t="e">
        <f t="shared" si="10"/>
        <v>#VALUE!</v>
      </c>
      <c r="C152" s="777" t="e">
        <f t="shared" si="11"/>
        <v>#VALUE!</v>
      </c>
      <c r="D152" s="777" t="e">
        <f t="shared" si="12"/>
        <v>#VALUE!</v>
      </c>
      <c r="E152" s="776" t="e">
        <f t="shared" si="14"/>
        <v>#VALUE!</v>
      </c>
      <c r="F152" s="778"/>
      <c r="G152" s="778"/>
      <c r="H152" s="776" t="e">
        <f t="shared" si="13"/>
        <v>#VALUE!</v>
      </c>
    </row>
    <row r="153" spans="1:8" ht="13.5" thickBot="1">
      <c r="A153" s="775">
        <v>137</v>
      </c>
      <c r="B153" s="776" t="e">
        <f t="shared" si="10"/>
        <v>#VALUE!</v>
      </c>
      <c r="C153" s="777" t="e">
        <f t="shared" si="11"/>
        <v>#VALUE!</v>
      </c>
      <c r="D153" s="777" t="e">
        <f t="shared" si="12"/>
        <v>#VALUE!</v>
      </c>
      <c r="E153" s="776" t="e">
        <f t="shared" si="14"/>
        <v>#VALUE!</v>
      </c>
      <c r="F153" s="778"/>
      <c r="G153" s="778"/>
      <c r="H153" s="776" t="e">
        <f t="shared" si="13"/>
        <v>#VALUE!</v>
      </c>
    </row>
    <row r="154" spans="1:8" ht="13.5" thickBot="1">
      <c r="A154" s="775">
        <v>138</v>
      </c>
      <c r="B154" s="776" t="e">
        <f t="shared" si="10"/>
        <v>#VALUE!</v>
      </c>
      <c r="C154" s="777" t="e">
        <f t="shared" si="11"/>
        <v>#VALUE!</v>
      </c>
      <c r="D154" s="777" t="e">
        <f t="shared" si="12"/>
        <v>#VALUE!</v>
      </c>
      <c r="E154" s="776" t="e">
        <f t="shared" si="14"/>
        <v>#VALUE!</v>
      </c>
      <c r="F154" s="778"/>
      <c r="G154" s="778"/>
      <c r="H154" s="776" t="e">
        <f t="shared" si="13"/>
        <v>#VALUE!</v>
      </c>
    </row>
    <row r="155" spans="1:8" ht="13.5" thickBot="1">
      <c r="A155" s="775">
        <v>139</v>
      </c>
      <c r="B155" s="776" t="e">
        <f t="shared" si="10"/>
        <v>#VALUE!</v>
      </c>
      <c r="C155" s="777" t="e">
        <f t="shared" si="11"/>
        <v>#VALUE!</v>
      </c>
      <c r="D155" s="777" t="e">
        <f t="shared" si="12"/>
        <v>#VALUE!</v>
      </c>
      <c r="E155" s="776" t="e">
        <f t="shared" si="14"/>
        <v>#VALUE!</v>
      </c>
      <c r="F155" s="778"/>
      <c r="G155" s="778"/>
      <c r="H155" s="776" t="e">
        <f t="shared" si="13"/>
        <v>#VALUE!</v>
      </c>
    </row>
    <row r="156" spans="1:8" ht="13.5" thickBot="1">
      <c r="A156" s="775">
        <v>140</v>
      </c>
      <c r="B156" s="776" t="e">
        <f t="shared" si="10"/>
        <v>#VALUE!</v>
      </c>
      <c r="C156" s="777" t="e">
        <f t="shared" si="11"/>
        <v>#VALUE!</v>
      </c>
      <c r="D156" s="777" t="e">
        <f t="shared" si="12"/>
        <v>#VALUE!</v>
      </c>
      <c r="E156" s="776" t="e">
        <f t="shared" si="14"/>
        <v>#VALUE!</v>
      </c>
      <c r="F156" s="778"/>
      <c r="G156" s="778"/>
      <c r="H156" s="776" t="e">
        <f t="shared" si="13"/>
        <v>#VALUE!</v>
      </c>
    </row>
    <row r="157" spans="1:8" ht="13.5" thickBot="1">
      <c r="A157" s="775">
        <v>141</v>
      </c>
      <c r="B157" s="776" t="e">
        <f t="shared" si="10"/>
        <v>#VALUE!</v>
      </c>
      <c r="C157" s="777" t="e">
        <f t="shared" si="11"/>
        <v>#VALUE!</v>
      </c>
      <c r="D157" s="777" t="e">
        <f t="shared" si="12"/>
        <v>#VALUE!</v>
      </c>
      <c r="E157" s="776" t="e">
        <f t="shared" si="14"/>
        <v>#VALUE!</v>
      </c>
      <c r="F157" s="778"/>
      <c r="G157" s="778"/>
      <c r="H157" s="776" t="e">
        <f t="shared" si="13"/>
        <v>#VALUE!</v>
      </c>
    </row>
    <row r="158" spans="1:8" ht="13.5" thickBot="1">
      <c r="A158" s="775">
        <v>142</v>
      </c>
      <c r="B158" s="776" t="e">
        <f t="shared" si="10"/>
        <v>#VALUE!</v>
      </c>
      <c r="C158" s="777" t="e">
        <f t="shared" si="11"/>
        <v>#VALUE!</v>
      </c>
      <c r="D158" s="777" t="e">
        <f t="shared" si="12"/>
        <v>#VALUE!</v>
      </c>
      <c r="E158" s="776" t="e">
        <f t="shared" si="14"/>
        <v>#VALUE!</v>
      </c>
      <c r="F158" s="778"/>
      <c r="G158" s="778"/>
      <c r="H158" s="776" t="e">
        <f t="shared" si="13"/>
        <v>#VALUE!</v>
      </c>
    </row>
    <row r="159" spans="1:8" ht="13.5" thickBot="1">
      <c r="A159" s="775">
        <v>143</v>
      </c>
      <c r="B159" s="776" t="e">
        <f t="shared" si="10"/>
        <v>#VALUE!</v>
      </c>
      <c r="C159" s="777" t="e">
        <f t="shared" si="11"/>
        <v>#VALUE!</v>
      </c>
      <c r="D159" s="777" t="e">
        <f t="shared" si="12"/>
        <v>#VALUE!</v>
      </c>
      <c r="E159" s="776" t="e">
        <f t="shared" si="14"/>
        <v>#VALUE!</v>
      </c>
      <c r="F159" s="778"/>
      <c r="G159" s="778"/>
      <c r="H159" s="776" t="e">
        <f t="shared" si="13"/>
        <v>#VALUE!</v>
      </c>
    </row>
    <row r="160" spans="1:8" ht="13.5" thickBot="1">
      <c r="A160" s="775">
        <v>144</v>
      </c>
      <c r="B160" s="776" t="e">
        <f t="shared" si="10"/>
        <v>#VALUE!</v>
      </c>
      <c r="C160" s="777" t="e">
        <f t="shared" si="11"/>
        <v>#VALUE!</v>
      </c>
      <c r="D160" s="777" t="e">
        <f t="shared" si="12"/>
        <v>#VALUE!</v>
      </c>
      <c r="E160" s="776" t="e">
        <f t="shared" si="14"/>
        <v>#VALUE!</v>
      </c>
      <c r="F160" s="778"/>
      <c r="G160" s="778"/>
      <c r="H160" s="776" t="e">
        <f t="shared" si="13"/>
        <v>#VALUE!</v>
      </c>
    </row>
    <row r="161" spans="1:8" ht="13.5" thickBot="1">
      <c r="A161" s="775">
        <v>145</v>
      </c>
      <c r="B161" s="776" t="e">
        <f t="shared" si="10"/>
        <v>#VALUE!</v>
      </c>
      <c r="C161" s="777" t="e">
        <f t="shared" si="11"/>
        <v>#VALUE!</v>
      </c>
      <c r="D161" s="777" t="e">
        <f t="shared" si="12"/>
        <v>#VALUE!</v>
      </c>
      <c r="E161" s="776" t="e">
        <f t="shared" si="14"/>
        <v>#VALUE!</v>
      </c>
      <c r="F161" s="778"/>
      <c r="G161" s="778"/>
      <c r="H161" s="776" t="e">
        <f t="shared" si="13"/>
        <v>#VALUE!</v>
      </c>
    </row>
    <row r="162" spans="1:8" ht="13.5" thickBot="1">
      <c r="A162" s="775">
        <v>146</v>
      </c>
      <c r="B162" s="776" t="e">
        <f t="shared" si="10"/>
        <v>#VALUE!</v>
      </c>
      <c r="C162" s="777" t="e">
        <f t="shared" si="11"/>
        <v>#VALUE!</v>
      </c>
      <c r="D162" s="777" t="e">
        <f t="shared" si="12"/>
        <v>#VALUE!</v>
      </c>
      <c r="E162" s="776" t="e">
        <f t="shared" si="14"/>
        <v>#VALUE!</v>
      </c>
      <c r="F162" s="778"/>
      <c r="G162" s="778"/>
      <c r="H162" s="776" t="e">
        <f t="shared" si="13"/>
        <v>#VALUE!</v>
      </c>
    </row>
    <row r="163" spans="1:8" ht="13.5" thickBot="1">
      <c r="A163" s="775">
        <v>147</v>
      </c>
      <c r="B163" s="776" t="e">
        <f t="shared" si="10"/>
        <v>#VALUE!</v>
      </c>
      <c r="C163" s="777" t="e">
        <f t="shared" si="11"/>
        <v>#VALUE!</v>
      </c>
      <c r="D163" s="777" t="e">
        <f t="shared" si="12"/>
        <v>#VALUE!</v>
      </c>
      <c r="E163" s="776" t="e">
        <f t="shared" si="14"/>
        <v>#VALUE!</v>
      </c>
      <c r="F163" s="778"/>
      <c r="G163" s="778"/>
      <c r="H163" s="776" t="e">
        <f t="shared" si="13"/>
        <v>#VALUE!</v>
      </c>
    </row>
    <row r="164" spans="1:8" ht="13.5" thickBot="1">
      <c r="A164" s="775">
        <v>148</v>
      </c>
      <c r="B164" s="776" t="e">
        <f t="shared" si="10"/>
        <v>#VALUE!</v>
      </c>
      <c r="C164" s="777" t="e">
        <f t="shared" si="11"/>
        <v>#VALUE!</v>
      </c>
      <c r="D164" s="777" t="e">
        <f t="shared" si="12"/>
        <v>#VALUE!</v>
      </c>
      <c r="E164" s="776" t="e">
        <f t="shared" si="14"/>
        <v>#VALUE!</v>
      </c>
      <c r="F164" s="778"/>
      <c r="G164" s="778"/>
      <c r="H164" s="776" t="e">
        <f t="shared" si="13"/>
        <v>#VALUE!</v>
      </c>
    </row>
    <row r="165" spans="1:8" ht="13.5" thickBot="1">
      <c r="A165" s="775">
        <v>149</v>
      </c>
      <c r="B165" s="776" t="e">
        <f t="shared" si="10"/>
        <v>#VALUE!</v>
      </c>
      <c r="C165" s="777" t="e">
        <f t="shared" si="11"/>
        <v>#VALUE!</v>
      </c>
      <c r="D165" s="777" t="e">
        <f t="shared" si="12"/>
        <v>#VALUE!</v>
      </c>
      <c r="E165" s="776" t="e">
        <f t="shared" si="14"/>
        <v>#VALUE!</v>
      </c>
      <c r="F165" s="778"/>
      <c r="G165" s="778"/>
      <c r="H165" s="776" t="e">
        <f t="shared" si="13"/>
        <v>#VALUE!</v>
      </c>
    </row>
    <row r="166" spans="1:8" ht="13.5" thickBot="1">
      <c r="A166" s="775">
        <v>150</v>
      </c>
      <c r="B166" s="776" t="e">
        <f t="shared" si="10"/>
        <v>#VALUE!</v>
      </c>
      <c r="C166" s="777" t="e">
        <f t="shared" si="11"/>
        <v>#VALUE!</v>
      </c>
      <c r="D166" s="777" t="e">
        <f t="shared" si="12"/>
        <v>#VALUE!</v>
      </c>
      <c r="E166" s="776" t="e">
        <f t="shared" si="14"/>
        <v>#VALUE!</v>
      </c>
      <c r="F166" s="778"/>
      <c r="G166" s="778"/>
      <c r="H166" s="776" t="e">
        <f t="shared" si="13"/>
        <v>#VALUE!</v>
      </c>
    </row>
    <row r="167" spans="1:8" ht="13.5" thickBot="1">
      <c r="A167" s="775">
        <v>151</v>
      </c>
      <c r="B167" s="776" t="e">
        <f t="shared" si="10"/>
        <v>#VALUE!</v>
      </c>
      <c r="C167" s="777" t="e">
        <f t="shared" si="11"/>
        <v>#VALUE!</v>
      </c>
      <c r="D167" s="777" t="e">
        <f t="shared" si="12"/>
        <v>#VALUE!</v>
      </c>
      <c r="E167" s="776" t="e">
        <f t="shared" si="14"/>
        <v>#VALUE!</v>
      </c>
      <c r="F167" s="778"/>
      <c r="G167" s="778"/>
      <c r="H167" s="776" t="e">
        <f t="shared" si="13"/>
        <v>#VALUE!</v>
      </c>
    </row>
    <row r="168" spans="1:8" ht="13.5" thickBot="1">
      <c r="A168" s="775">
        <v>152</v>
      </c>
      <c r="B168" s="776" t="e">
        <f t="shared" si="10"/>
        <v>#VALUE!</v>
      </c>
      <c r="C168" s="777" t="e">
        <f t="shared" si="11"/>
        <v>#VALUE!</v>
      </c>
      <c r="D168" s="777" t="e">
        <f t="shared" si="12"/>
        <v>#VALUE!</v>
      </c>
      <c r="E168" s="776" t="e">
        <f t="shared" si="14"/>
        <v>#VALUE!</v>
      </c>
      <c r="F168" s="778"/>
      <c r="G168" s="778"/>
      <c r="H168" s="776" t="e">
        <f t="shared" si="13"/>
        <v>#VALUE!</v>
      </c>
    </row>
    <row r="169" spans="1:8" ht="13.5" thickBot="1">
      <c r="A169" s="775">
        <v>153</v>
      </c>
      <c r="B169" s="776" t="e">
        <f t="shared" si="10"/>
        <v>#VALUE!</v>
      </c>
      <c r="C169" s="777" t="e">
        <f t="shared" si="11"/>
        <v>#VALUE!</v>
      </c>
      <c r="D169" s="777" t="e">
        <f t="shared" si="12"/>
        <v>#VALUE!</v>
      </c>
      <c r="E169" s="776" t="e">
        <f t="shared" si="14"/>
        <v>#VALUE!</v>
      </c>
      <c r="F169" s="778"/>
      <c r="G169" s="778"/>
      <c r="H169" s="776" t="e">
        <f t="shared" si="13"/>
        <v>#VALUE!</v>
      </c>
    </row>
    <row r="170" spans="1:8" ht="13.5" thickBot="1">
      <c r="A170" s="775">
        <v>154</v>
      </c>
      <c r="B170" s="776" t="e">
        <f t="shared" si="10"/>
        <v>#VALUE!</v>
      </c>
      <c r="C170" s="777" t="e">
        <f t="shared" si="11"/>
        <v>#VALUE!</v>
      </c>
      <c r="D170" s="777" t="e">
        <f t="shared" si="12"/>
        <v>#VALUE!</v>
      </c>
      <c r="E170" s="776" t="e">
        <f t="shared" si="14"/>
        <v>#VALUE!</v>
      </c>
      <c r="F170" s="778"/>
      <c r="G170" s="778"/>
      <c r="H170" s="776" t="e">
        <f t="shared" si="13"/>
        <v>#VALUE!</v>
      </c>
    </row>
    <row r="171" spans="1:8" ht="13.5" thickBot="1">
      <c r="A171" s="775">
        <v>155</v>
      </c>
      <c r="B171" s="776" t="e">
        <f t="shared" si="10"/>
        <v>#VALUE!</v>
      </c>
      <c r="C171" s="777" t="e">
        <f t="shared" si="11"/>
        <v>#VALUE!</v>
      </c>
      <c r="D171" s="777" t="e">
        <f t="shared" si="12"/>
        <v>#VALUE!</v>
      </c>
      <c r="E171" s="776" t="e">
        <f t="shared" si="14"/>
        <v>#VALUE!</v>
      </c>
      <c r="F171" s="778"/>
      <c r="G171" s="778"/>
      <c r="H171" s="776" t="e">
        <f t="shared" si="13"/>
        <v>#VALUE!</v>
      </c>
    </row>
    <row r="172" spans="1:8" ht="13.5" thickBot="1">
      <c r="A172" s="775">
        <v>156</v>
      </c>
      <c r="B172" s="776" t="e">
        <f t="shared" si="10"/>
        <v>#VALUE!</v>
      </c>
      <c r="C172" s="777" t="e">
        <f t="shared" si="11"/>
        <v>#VALUE!</v>
      </c>
      <c r="D172" s="777" t="e">
        <f t="shared" si="12"/>
        <v>#VALUE!</v>
      </c>
      <c r="E172" s="776" t="e">
        <f t="shared" si="14"/>
        <v>#VALUE!</v>
      </c>
      <c r="F172" s="778"/>
      <c r="G172" s="778"/>
      <c r="H172" s="776" t="e">
        <f t="shared" si="13"/>
        <v>#VALUE!</v>
      </c>
    </row>
    <row r="173" spans="1:8" ht="13.5" thickBot="1">
      <c r="A173" s="775">
        <v>157</v>
      </c>
      <c r="B173" s="776" t="e">
        <f t="shared" si="10"/>
        <v>#VALUE!</v>
      </c>
      <c r="C173" s="777" t="e">
        <f t="shared" si="11"/>
        <v>#VALUE!</v>
      </c>
      <c r="D173" s="777" t="e">
        <f t="shared" si="12"/>
        <v>#VALUE!</v>
      </c>
      <c r="E173" s="776" t="e">
        <f t="shared" si="14"/>
        <v>#VALUE!</v>
      </c>
      <c r="F173" s="778"/>
      <c r="G173" s="778"/>
      <c r="H173" s="776" t="e">
        <f t="shared" si="13"/>
        <v>#VALUE!</v>
      </c>
    </row>
    <row r="174" spans="1:8" ht="13.5" thickBot="1">
      <c r="A174" s="775">
        <v>158</v>
      </c>
      <c r="B174" s="776" t="e">
        <f t="shared" si="10"/>
        <v>#VALUE!</v>
      </c>
      <c r="C174" s="777" t="e">
        <f t="shared" si="11"/>
        <v>#VALUE!</v>
      </c>
      <c r="D174" s="777" t="e">
        <f t="shared" si="12"/>
        <v>#VALUE!</v>
      </c>
      <c r="E174" s="776" t="e">
        <f t="shared" si="14"/>
        <v>#VALUE!</v>
      </c>
      <c r="F174" s="778"/>
      <c r="G174" s="778"/>
      <c r="H174" s="776" t="e">
        <f t="shared" si="13"/>
        <v>#VALUE!</v>
      </c>
    </row>
    <row r="175" spans="1:8" ht="13.5" thickBot="1">
      <c r="A175" s="775">
        <v>159</v>
      </c>
      <c r="B175" s="776" t="e">
        <f t="shared" si="10"/>
        <v>#VALUE!</v>
      </c>
      <c r="C175" s="777" t="e">
        <f t="shared" si="11"/>
        <v>#VALUE!</v>
      </c>
      <c r="D175" s="777" t="e">
        <f t="shared" si="12"/>
        <v>#VALUE!</v>
      </c>
      <c r="E175" s="776" t="e">
        <f t="shared" si="14"/>
        <v>#VALUE!</v>
      </c>
      <c r="F175" s="778"/>
      <c r="G175" s="778"/>
      <c r="H175" s="776" t="e">
        <f t="shared" si="13"/>
        <v>#VALUE!</v>
      </c>
    </row>
    <row r="176" spans="1:8" ht="13.5" thickBot="1">
      <c r="A176" s="775">
        <v>160</v>
      </c>
      <c r="B176" s="776" t="e">
        <f t="shared" si="10"/>
        <v>#VALUE!</v>
      </c>
      <c r="C176" s="777" t="e">
        <f t="shared" si="11"/>
        <v>#VALUE!</v>
      </c>
      <c r="D176" s="777" t="e">
        <f t="shared" si="12"/>
        <v>#VALUE!</v>
      </c>
      <c r="E176" s="776" t="e">
        <f t="shared" si="14"/>
        <v>#VALUE!</v>
      </c>
      <c r="F176" s="778"/>
      <c r="G176" s="778"/>
      <c r="H176" s="776" t="e">
        <f t="shared" si="13"/>
        <v>#VALUE!</v>
      </c>
    </row>
    <row r="177" spans="1:8" ht="13.5" thickBot="1">
      <c r="A177" s="775">
        <v>161</v>
      </c>
      <c r="B177" s="776" t="e">
        <f t="shared" si="10"/>
        <v>#VALUE!</v>
      </c>
      <c r="C177" s="777" t="e">
        <f t="shared" si="11"/>
        <v>#VALUE!</v>
      </c>
      <c r="D177" s="777" t="e">
        <f t="shared" si="12"/>
        <v>#VALUE!</v>
      </c>
      <c r="E177" s="776" t="e">
        <f t="shared" si="14"/>
        <v>#VALUE!</v>
      </c>
      <c r="F177" s="778"/>
      <c r="G177" s="778"/>
      <c r="H177" s="776" t="e">
        <f t="shared" si="13"/>
        <v>#VALUE!</v>
      </c>
    </row>
    <row r="178" spans="1:8" ht="13.5" thickBot="1">
      <c r="A178" s="775">
        <v>162</v>
      </c>
      <c r="B178" s="776" t="e">
        <f t="shared" si="10"/>
        <v>#VALUE!</v>
      </c>
      <c r="C178" s="777" t="e">
        <f t="shared" si="11"/>
        <v>#VALUE!</v>
      </c>
      <c r="D178" s="777" t="e">
        <f t="shared" si="12"/>
        <v>#VALUE!</v>
      </c>
      <c r="E178" s="776" t="e">
        <f t="shared" si="14"/>
        <v>#VALUE!</v>
      </c>
      <c r="F178" s="778"/>
      <c r="G178" s="778"/>
      <c r="H178" s="776" t="e">
        <f t="shared" si="13"/>
        <v>#VALUE!</v>
      </c>
    </row>
    <row r="179" spans="1:8" ht="13.5" thickBot="1">
      <c r="A179" s="775">
        <v>163</v>
      </c>
      <c r="B179" s="776" t="e">
        <f t="shared" si="10"/>
        <v>#VALUE!</v>
      </c>
      <c r="C179" s="777" t="e">
        <f t="shared" si="11"/>
        <v>#VALUE!</v>
      </c>
      <c r="D179" s="777" t="e">
        <f t="shared" si="12"/>
        <v>#VALUE!</v>
      </c>
      <c r="E179" s="776" t="e">
        <f t="shared" si="14"/>
        <v>#VALUE!</v>
      </c>
      <c r="F179" s="778"/>
      <c r="G179" s="778"/>
      <c r="H179" s="776" t="e">
        <f t="shared" si="13"/>
        <v>#VALUE!</v>
      </c>
    </row>
    <row r="180" spans="1:8" ht="13.5" thickBot="1">
      <c r="A180" s="775">
        <v>164</v>
      </c>
      <c r="B180" s="776" t="e">
        <f t="shared" si="10"/>
        <v>#VALUE!</v>
      </c>
      <c r="C180" s="777" t="e">
        <f t="shared" si="11"/>
        <v>#VALUE!</v>
      </c>
      <c r="D180" s="777" t="e">
        <f t="shared" si="12"/>
        <v>#VALUE!</v>
      </c>
      <c r="E180" s="776" t="e">
        <f t="shared" si="14"/>
        <v>#VALUE!</v>
      </c>
      <c r="F180" s="778"/>
      <c r="G180" s="778"/>
      <c r="H180" s="776" t="e">
        <f t="shared" si="13"/>
        <v>#VALUE!</v>
      </c>
    </row>
    <row r="181" spans="1:8" ht="13.5" thickBot="1">
      <c r="A181" s="775">
        <v>165</v>
      </c>
      <c r="B181" s="776" t="e">
        <f t="shared" si="10"/>
        <v>#VALUE!</v>
      </c>
      <c r="C181" s="777" t="e">
        <f t="shared" si="11"/>
        <v>#VALUE!</v>
      </c>
      <c r="D181" s="777" t="e">
        <f t="shared" si="12"/>
        <v>#VALUE!</v>
      </c>
      <c r="E181" s="776" t="e">
        <f t="shared" si="14"/>
        <v>#VALUE!</v>
      </c>
      <c r="F181" s="778"/>
      <c r="G181" s="778"/>
      <c r="H181" s="776" t="e">
        <f t="shared" si="13"/>
        <v>#VALUE!</v>
      </c>
    </row>
    <row r="182" spans="1:8" ht="13.5" thickBot="1">
      <c r="A182" s="775">
        <v>166</v>
      </c>
      <c r="B182" s="776" t="e">
        <f t="shared" si="10"/>
        <v>#VALUE!</v>
      </c>
      <c r="C182" s="777" t="e">
        <f t="shared" si="11"/>
        <v>#VALUE!</v>
      </c>
      <c r="D182" s="777" t="e">
        <f t="shared" si="12"/>
        <v>#VALUE!</v>
      </c>
      <c r="E182" s="776" t="e">
        <f t="shared" si="14"/>
        <v>#VALUE!</v>
      </c>
      <c r="F182" s="778"/>
      <c r="G182" s="778"/>
      <c r="H182" s="776" t="e">
        <f t="shared" si="13"/>
        <v>#VALUE!</v>
      </c>
    </row>
    <row r="183" spans="1:8" ht="13.5" thickBot="1">
      <c r="A183" s="775">
        <v>167</v>
      </c>
      <c r="B183" s="776" t="e">
        <f t="shared" si="10"/>
        <v>#VALUE!</v>
      </c>
      <c r="C183" s="777" t="e">
        <f t="shared" si="11"/>
        <v>#VALUE!</v>
      </c>
      <c r="D183" s="777" t="e">
        <f t="shared" si="12"/>
        <v>#VALUE!</v>
      </c>
      <c r="E183" s="776" t="e">
        <f t="shared" si="14"/>
        <v>#VALUE!</v>
      </c>
      <c r="F183" s="778"/>
      <c r="G183" s="778"/>
      <c r="H183" s="776" t="e">
        <f t="shared" si="13"/>
        <v>#VALUE!</v>
      </c>
    </row>
    <row r="184" spans="1:8" ht="13.5" thickBot="1">
      <c r="A184" s="775">
        <v>168</v>
      </c>
      <c r="B184" s="776" t="e">
        <f t="shared" si="10"/>
        <v>#VALUE!</v>
      </c>
      <c r="C184" s="777" t="e">
        <f t="shared" si="11"/>
        <v>#VALUE!</v>
      </c>
      <c r="D184" s="777" t="e">
        <f t="shared" si="12"/>
        <v>#VALUE!</v>
      </c>
      <c r="E184" s="776" t="e">
        <f t="shared" si="14"/>
        <v>#VALUE!</v>
      </c>
      <c r="F184" s="778"/>
      <c r="G184" s="778"/>
      <c r="H184" s="776" t="e">
        <f t="shared" si="13"/>
        <v>#VALUE!</v>
      </c>
    </row>
    <row r="185" spans="1:8" ht="13.5" thickBot="1">
      <c r="A185" s="775">
        <v>169</v>
      </c>
      <c r="B185" s="776" t="e">
        <f t="shared" si="10"/>
        <v>#VALUE!</v>
      </c>
      <c r="C185" s="777" t="e">
        <f t="shared" si="11"/>
        <v>#VALUE!</v>
      </c>
      <c r="D185" s="777" t="e">
        <f t="shared" si="12"/>
        <v>#VALUE!</v>
      </c>
      <c r="E185" s="776" t="e">
        <f t="shared" si="14"/>
        <v>#VALUE!</v>
      </c>
      <c r="F185" s="778"/>
      <c r="G185" s="778"/>
      <c r="H185" s="776" t="e">
        <f t="shared" si="13"/>
        <v>#VALUE!</v>
      </c>
    </row>
    <row r="186" spans="1:8" ht="13.5" thickBot="1">
      <c r="A186" s="775">
        <v>170</v>
      </c>
      <c r="B186" s="776" t="e">
        <f t="shared" si="10"/>
        <v>#VALUE!</v>
      </c>
      <c r="C186" s="777" t="e">
        <f t="shared" si="11"/>
        <v>#VALUE!</v>
      </c>
      <c r="D186" s="777" t="e">
        <f t="shared" si="12"/>
        <v>#VALUE!</v>
      </c>
      <c r="E186" s="776" t="e">
        <f t="shared" si="14"/>
        <v>#VALUE!</v>
      </c>
      <c r="F186" s="778"/>
      <c r="G186" s="778"/>
      <c r="H186" s="776" t="e">
        <f t="shared" si="13"/>
        <v>#VALUE!</v>
      </c>
    </row>
    <row r="187" spans="1:8" ht="13.5" thickBot="1">
      <c r="A187" s="775">
        <v>171</v>
      </c>
      <c r="B187" s="776" t="e">
        <f t="shared" si="10"/>
        <v>#VALUE!</v>
      </c>
      <c r="C187" s="777" t="e">
        <f t="shared" si="11"/>
        <v>#VALUE!</v>
      </c>
      <c r="D187" s="777" t="e">
        <f t="shared" si="12"/>
        <v>#VALUE!</v>
      </c>
      <c r="E187" s="776" t="e">
        <f t="shared" si="14"/>
        <v>#VALUE!</v>
      </c>
      <c r="F187" s="778"/>
      <c r="G187" s="778"/>
      <c r="H187" s="776" t="e">
        <f t="shared" si="13"/>
        <v>#VALUE!</v>
      </c>
    </row>
    <row r="188" spans="1:8" ht="13.5" thickBot="1">
      <c r="A188" s="775">
        <v>172</v>
      </c>
      <c r="B188" s="776" t="e">
        <f t="shared" si="10"/>
        <v>#VALUE!</v>
      </c>
      <c r="C188" s="777" t="e">
        <f t="shared" si="11"/>
        <v>#VALUE!</v>
      </c>
      <c r="D188" s="777" t="e">
        <f t="shared" si="12"/>
        <v>#VALUE!</v>
      </c>
      <c r="E188" s="776" t="e">
        <f t="shared" si="14"/>
        <v>#VALUE!</v>
      </c>
      <c r="F188" s="778"/>
      <c r="G188" s="778"/>
      <c r="H188" s="776" t="e">
        <f t="shared" si="13"/>
        <v>#VALUE!</v>
      </c>
    </row>
    <row r="189" spans="1:8" ht="13.5" thickBot="1">
      <c r="A189" s="775">
        <v>173</v>
      </c>
      <c r="B189" s="776" t="e">
        <f t="shared" si="10"/>
        <v>#VALUE!</v>
      </c>
      <c r="C189" s="777" t="e">
        <f t="shared" si="11"/>
        <v>#VALUE!</v>
      </c>
      <c r="D189" s="777" t="e">
        <f t="shared" si="12"/>
        <v>#VALUE!</v>
      </c>
      <c r="E189" s="776" t="e">
        <f t="shared" si="14"/>
        <v>#VALUE!</v>
      </c>
      <c r="F189" s="778"/>
      <c r="G189" s="778"/>
      <c r="H189" s="776" t="e">
        <f t="shared" si="13"/>
        <v>#VALUE!</v>
      </c>
    </row>
    <row r="190" spans="1:8" ht="13.5" thickBot="1">
      <c r="A190" s="775">
        <v>174</v>
      </c>
      <c r="B190" s="776" t="e">
        <f t="shared" si="10"/>
        <v>#VALUE!</v>
      </c>
      <c r="C190" s="777" t="e">
        <f t="shared" si="11"/>
        <v>#VALUE!</v>
      </c>
      <c r="D190" s="777" t="e">
        <f t="shared" si="12"/>
        <v>#VALUE!</v>
      </c>
      <c r="E190" s="776" t="e">
        <f t="shared" si="14"/>
        <v>#VALUE!</v>
      </c>
      <c r="F190" s="778"/>
      <c r="G190" s="778"/>
      <c r="H190" s="776" t="e">
        <f t="shared" si="13"/>
        <v>#VALUE!</v>
      </c>
    </row>
    <row r="191" spans="1:8" ht="13.5" thickBot="1">
      <c r="A191" s="775">
        <v>175</v>
      </c>
      <c r="B191" s="776" t="e">
        <f t="shared" si="10"/>
        <v>#VALUE!</v>
      </c>
      <c r="C191" s="777" t="e">
        <f t="shared" si="11"/>
        <v>#VALUE!</v>
      </c>
      <c r="D191" s="777" t="e">
        <f t="shared" si="12"/>
        <v>#VALUE!</v>
      </c>
      <c r="E191" s="776" t="e">
        <f t="shared" si="14"/>
        <v>#VALUE!</v>
      </c>
      <c r="F191" s="778"/>
      <c r="G191" s="778"/>
      <c r="H191" s="776" t="e">
        <f t="shared" si="13"/>
        <v>#VALUE!</v>
      </c>
    </row>
    <row r="192" spans="1:8" ht="13.5" thickBot="1">
      <c r="A192" s="775">
        <v>176</v>
      </c>
      <c r="B192" s="776" t="e">
        <f t="shared" si="10"/>
        <v>#VALUE!</v>
      </c>
      <c r="C192" s="777" t="e">
        <f t="shared" si="11"/>
        <v>#VALUE!</v>
      </c>
      <c r="D192" s="777" t="e">
        <f t="shared" si="12"/>
        <v>#VALUE!</v>
      </c>
      <c r="E192" s="776" t="e">
        <f t="shared" si="14"/>
        <v>#VALUE!</v>
      </c>
      <c r="F192" s="778"/>
      <c r="G192" s="778"/>
      <c r="H192" s="776" t="e">
        <f t="shared" si="13"/>
        <v>#VALUE!</v>
      </c>
    </row>
    <row r="193" spans="1:8" ht="13.5" thickBot="1">
      <c r="A193" s="775">
        <v>177</v>
      </c>
      <c r="B193" s="776" t="e">
        <f t="shared" si="10"/>
        <v>#VALUE!</v>
      </c>
      <c r="C193" s="777" t="e">
        <f t="shared" si="11"/>
        <v>#VALUE!</v>
      </c>
      <c r="D193" s="777" t="e">
        <f t="shared" si="12"/>
        <v>#VALUE!</v>
      </c>
      <c r="E193" s="776" t="e">
        <f t="shared" si="14"/>
        <v>#VALUE!</v>
      </c>
      <c r="F193" s="778"/>
      <c r="G193" s="778"/>
      <c r="H193" s="776" t="e">
        <f t="shared" si="13"/>
        <v>#VALUE!</v>
      </c>
    </row>
    <row r="194" spans="1:8" ht="13.5" thickBot="1">
      <c r="A194" s="775">
        <v>178</v>
      </c>
      <c r="B194" s="776" t="e">
        <f t="shared" si="10"/>
        <v>#VALUE!</v>
      </c>
      <c r="C194" s="777" t="e">
        <f t="shared" si="11"/>
        <v>#VALUE!</v>
      </c>
      <c r="D194" s="777" t="e">
        <f t="shared" si="12"/>
        <v>#VALUE!</v>
      </c>
      <c r="E194" s="776" t="e">
        <f t="shared" si="14"/>
        <v>#VALUE!</v>
      </c>
      <c r="F194" s="778"/>
      <c r="G194" s="778"/>
      <c r="H194" s="776" t="e">
        <f t="shared" si="13"/>
        <v>#VALUE!</v>
      </c>
    </row>
    <row r="195" spans="1:8" ht="13.5" thickBot="1">
      <c r="A195" s="775">
        <v>179</v>
      </c>
      <c r="B195" s="776" t="e">
        <f t="shared" si="10"/>
        <v>#VALUE!</v>
      </c>
      <c r="C195" s="777" t="e">
        <f t="shared" si="11"/>
        <v>#VALUE!</v>
      </c>
      <c r="D195" s="777" t="e">
        <f t="shared" si="12"/>
        <v>#VALUE!</v>
      </c>
      <c r="E195" s="776" t="e">
        <f t="shared" si="14"/>
        <v>#VALUE!</v>
      </c>
      <c r="F195" s="778"/>
      <c r="G195" s="778"/>
      <c r="H195" s="776" t="e">
        <f t="shared" si="13"/>
        <v>#VALUE!</v>
      </c>
    </row>
    <row r="196" spans="1:8" ht="13.5" thickBot="1">
      <c r="A196" s="775">
        <v>180</v>
      </c>
      <c r="B196" s="776" t="e">
        <f t="shared" si="10"/>
        <v>#VALUE!</v>
      </c>
      <c r="C196" s="777" t="e">
        <f t="shared" si="11"/>
        <v>#VALUE!</v>
      </c>
      <c r="D196" s="777" t="e">
        <f t="shared" si="12"/>
        <v>#VALUE!</v>
      </c>
      <c r="E196" s="776" t="e">
        <f t="shared" si="14"/>
        <v>#VALUE!</v>
      </c>
      <c r="F196" s="778"/>
      <c r="G196" s="778"/>
      <c r="H196" s="776" t="e">
        <f t="shared" si="13"/>
        <v>#VALUE!</v>
      </c>
    </row>
    <row r="197" spans="1:8" ht="13.5" thickBot="1">
      <c r="A197" s="775">
        <v>181</v>
      </c>
      <c r="B197" s="776" t="e">
        <f t="shared" si="10"/>
        <v>#VALUE!</v>
      </c>
      <c r="C197" s="777" t="e">
        <f t="shared" si="11"/>
        <v>#VALUE!</v>
      </c>
      <c r="D197" s="777" t="e">
        <f t="shared" si="12"/>
        <v>#VALUE!</v>
      </c>
      <c r="E197" s="776" t="e">
        <f t="shared" si="14"/>
        <v>#VALUE!</v>
      </c>
      <c r="F197" s="778"/>
      <c r="G197" s="778"/>
      <c r="H197" s="776" t="e">
        <f>IF($B197-$D197&gt;0,$B197-$D197,0)</f>
        <v>#VALUE!</v>
      </c>
    </row>
    <row r="198" spans="1:8" ht="13.5" thickBot="1">
      <c r="A198" s="775">
        <v>182</v>
      </c>
      <c r="B198" s="776" t="e">
        <f>IF(H197&gt;0,H197,0)</f>
        <v>#VALUE!</v>
      </c>
      <c r="C198" s="777" t="e">
        <f t="shared" si="11"/>
        <v>#VALUE!</v>
      </c>
      <c r="D198" s="777" t="e">
        <f t="shared" si="12"/>
        <v>#VALUE!</v>
      </c>
      <c r="E198" s="776" t="e">
        <f t="shared" si="14"/>
        <v>#VALUE!</v>
      </c>
      <c r="F198" s="778"/>
      <c r="G198" s="778"/>
      <c r="H198" s="776" t="e">
        <f t="shared" ref="H198:H256" si="15">IF($B198-$D198&gt;0,$B198-$D198,0)</f>
        <v>#VALUE!</v>
      </c>
    </row>
    <row r="199" spans="1:8" ht="13.5" thickBot="1">
      <c r="A199" s="775">
        <v>183</v>
      </c>
      <c r="B199" s="776" t="e">
        <f t="shared" si="10"/>
        <v>#VALUE!</v>
      </c>
      <c r="C199" s="777" t="e">
        <f t="shared" si="11"/>
        <v>#VALUE!</v>
      </c>
      <c r="D199" s="777" t="e">
        <f t="shared" si="12"/>
        <v>#VALUE!</v>
      </c>
      <c r="E199" s="776" t="e">
        <f t="shared" si="14"/>
        <v>#VALUE!</v>
      </c>
      <c r="F199" s="778"/>
      <c r="G199" s="778"/>
      <c r="H199" s="776" t="e">
        <f t="shared" si="15"/>
        <v>#VALUE!</v>
      </c>
    </row>
    <row r="200" spans="1:8" ht="13.5" thickBot="1">
      <c r="A200" s="775">
        <v>184</v>
      </c>
      <c r="B200" s="776" t="e">
        <f t="shared" si="10"/>
        <v>#VALUE!</v>
      </c>
      <c r="C200" s="777" t="e">
        <f t="shared" si="11"/>
        <v>#VALUE!</v>
      </c>
      <c r="D200" s="777" t="e">
        <f t="shared" si="12"/>
        <v>#VALUE!</v>
      </c>
      <c r="E200" s="776" t="e">
        <f t="shared" si="14"/>
        <v>#VALUE!</v>
      </c>
      <c r="F200" s="778"/>
      <c r="G200" s="778"/>
      <c r="H200" s="776" t="e">
        <f t="shared" si="15"/>
        <v>#VALUE!</v>
      </c>
    </row>
    <row r="201" spans="1:8" ht="13.5" thickBot="1">
      <c r="A201" s="775">
        <v>185</v>
      </c>
      <c r="B201" s="776" t="e">
        <f t="shared" ref="B201:B241" si="16">H200</f>
        <v>#VALUE!</v>
      </c>
      <c r="C201" s="777" t="e">
        <f t="shared" si="11"/>
        <v>#VALUE!</v>
      </c>
      <c r="D201" s="777" t="e">
        <f t="shared" si="12"/>
        <v>#VALUE!</v>
      </c>
      <c r="E201" s="776" t="e">
        <f t="shared" si="14"/>
        <v>#VALUE!</v>
      </c>
      <c r="F201" s="778"/>
      <c r="G201" s="778"/>
      <c r="H201" s="776" t="e">
        <f t="shared" si="15"/>
        <v>#VALUE!</v>
      </c>
    </row>
    <row r="202" spans="1:8" ht="13.5" thickBot="1">
      <c r="A202" s="775">
        <v>186</v>
      </c>
      <c r="B202" s="776" t="e">
        <f t="shared" si="16"/>
        <v>#VALUE!</v>
      </c>
      <c r="C202" s="777" t="e">
        <f t="shared" si="11"/>
        <v>#VALUE!</v>
      </c>
      <c r="D202" s="777" t="e">
        <f t="shared" si="12"/>
        <v>#VALUE!</v>
      </c>
      <c r="E202" s="776" t="e">
        <f t="shared" si="14"/>
        <v>#VALUE!</v>
      </c>
      <c r="F202" s="778"/>
      <c r="G202" s="778"/>
      <c r="H202" s="776" t="e">
        <f t="shared" si="15"/>
        <v>#VALUE!</v>
      </c>
    </row>
    <row r="203" spans="1:8" ht="13.5" thickBot="1">
      <c r="A203" s="775">
        <v>187</v>
      </c>
      <c r="B203" s="776" t="e">
        <f t="shared" si="16"/>
        <v>#VALUE!</v>
      </c>
      <c r="C203" s="777" t="e">
        <f t="shared" si="11"/>
        <v>#VALUE!</v>
      </c>
      <c r="D203" s="777" t="e">
        <f t="shared" si="12"/>
        <v>#VALUE!</v>
      </c>
      <c r="E203" s="776" t="e">
        <f t="shared" si="14"/>
        <v>#VALUE!</v>
      </c>
      <c r="F203" s="778"/>
      <c r="G203" s="778"/>
      <c r="H203" s="776" t="e">
        <f t="shared" si="15"/>
        <v>#VALUE!</v>
      </c>
    </row>
    <row r="204" spans="1:8" ht="13.5" thickBot="1">
      <c r="A204" s="775">
        <v>188</v>
      </c>
      <c r="B204" s="776" t="e">
        <f t="shared" si="16"/>
        <v>#VALUE!</v>
      </c>
      <c r="C204" s="777" t="e">
        <f t="shared" si="11"/>
        <v>#VALUE!</v>
      </c>
      <c r="D204" s="777" t="e">
        <f t="shared" si="12"/>
        <v>#VALUE!</v>
      </c>
      <c r="E204" s="776" t="e">
        <f t="shared" si="14"/>
        <v>#VALUE!</v>
      </c>
      <c r="F204" s="778"/>
      <c r="G204" s="778"/>
      <c r="H204" s="776" t="e">
        <f t="shared" si="15"/>
        <v>#VALUE!</v>
      </c>
    </row>
    <row r="205" spans="1:8" ht="13.5" thickBot="1">
      <c r="A205" s="775">
        <v>189</v>
      </c>
      <c r="B205" s="776" t="e">
        <f t="shared" si="16"/>
        <v>#VALUE!</v>
      </c>
      <c r="C205" s="777" t="e">
        <f t="shared" si="11"/>
        <v>#VALUE!</v>
      </c>
      <c r="D205" s="777" t="e">
        <f t="shared" si="12"/>
        <v>#VALUE!</v>
      </c>
      <c r="E205" s="776" t="e">
        <f t="shared" si="14"/>
        <v>#VALUE!</v>
      </c>
      <c r="F205" s="778"/>
      <c r="G205" s="778"/>
      <c r="H205" s="776" t="e">
        <f t="shared" si="15"/>
        <v>#VALUE!</v>
      </c>
    </row>
    <row r="206" spans="1:8" ht="13.5" thickBot="1">
      <c r="A206" s="775">
        <v>190</v>
      </c>
      <c r="B206" s="776" t="e">
        <f t="shared" si="16"/>
        <v>#VALUE!</v>
      </c>
      <c r="C206" s="777" t="e">
        <f t="shared" si="11"/>
        <v>#VALUE!</v>
      </c>
      <c r="D206" s="777" t="e">
        <f t="shared" si="12"/>
        <v>#VALUE!</v>
      </c>
      <c r="E206" s="776" t="e">
        <f t="shared" si="14"/>
        <v>#VALUE!</v>
      </c>
      <c r="F206" s="778"/>
      <c r="G206" s="778"/>
      <c r="H206" s="776" t="e">
        <f t="shared" si="15"/>
        <v>#VALUE!</v>
      </c>
    </row>
    <row r="207" spans="1:8" ht="13.5" thickBot="1">
      <c r="A207" s="775">
        <v>191</v>
      </c>
      <c r="B207" s="776" t="e">
        <f t="shared" si="16"/>
        <v>#VALUE!</v>
      </c>
      <c r="C207" s="777" t="e">
        <f t="shared" si="11"/>
        <v>#VALUE!</v>
      </c>
      <c r="D207" s="777" t="e">
        <f t="shared" si="12"/>
        <v>#VALUE!</v>
      </c>
      <c r="E207" s="776" t="e">
        <f t="shared" si="14"/>
        <v>#VALUE!</v>
      </c>
      <c r="F207" s="778"/>
      <c r="G207" s="778"/>
      <c r="H207" s="776" t="e">
        <f t="shared" si="15"/>
        <v>#VALUE!</v>
      </c>
    </row>
    <row r="208" spans="1:8" ht="13.5" thickBot="1">
      <c r="A208" s="775">
        <v>192</v>
      </c>
      <c r="B208" s="776" t="e">
        <f t="shared" si="16"/>
        <v>#VALUE!</v>
      </c>
      <c r="C208" s="777" t="e">
        <f t="shared" si="11"/>
        <v>#VALUE!</v>
      </c>
      <c r="D208" s="777" t="e">
        <f t="shared" si="12"/>
        <v>#VALUE!</v>
      </c>
      <c r="E208" s="776" t="e">
        <f t="shared" si="14"/>
        <v>#VALUE!</v>
      </c>
      <c r="F208" s="778"/>
      <c r="G208" s="778"/>
      <c r="H208" s="776" t="e">
        <f t="shared" si="15"/>
        <v>#VALUE!</v>
      </c>
    </row>
    <row r="209" spans="1:8" ht="13.5" thickBot="1">
      <c r="A209" s="775">
        <v>193</v>
      </c>
      <c r="B209" s="776" t="e">
        <f t="shared" si="16"/>
        <v>#VALUE!</v>
      </c>
      <c r="C209" s="777" t="e">
        <f t="shared" si="11"/>
        <v>#VALUE!</v>
      </c>
      <c r="D209" s="777" t="e">
        <f t="shared" si="12"/>
        <v>#VALUE!</v>
      </c>
      <c r="E209" s="776" t="e">
        <f t="shared" si="14"/>
        <v>#VALUE!</v>
      </c>
      <c r="F209" s="778"/>
      <c r="G209" s="778"/>
      <c r="H209" s="776" t="e">
        <f t="shared" si="15"/>
        <v>#VALUE!</v>
      </c>
    </row>
    <row r="210" spans="1:8" ht="13.5" thickBot="1">
      <c r="A210" s="775">
        <v>194</v>
      </c>
      <c r="B210" s="776" t="e">
        <f t="shared" si="16"/>
        <v>#VALUE!</v>
      </c>
      <c r="C210" s="777" t="e">
        <f t="shared" ref="C210:C256" si="17">$B$14</f>
        <v>#VALUE!</v>
      </c>
      <c r="D210" s="777" t="e">
        <f t="shared" ref="D210:D256" si="18">$C210-$E210</f>
        <v>#VALUE!</v>
      </c>
      <c r="E210" s="776" t="e">
        <f t="shared" si="14"/>
        <v>#VALUE!</v>
      </c>
      <c r="F210" s="778"/>
      <c r="G210" s="778"/>
      <c r="H210" s="776" t="e">
        <f t="shared" si="15"/>
        <v>#VALUE!</v>
      </c>
    </row>
    <row r="211" spans="1:8" ht="13.5" thickBot="1">
      <c r="A211" s="775">
        <v>195</v>
      </c>
      <c r="B211" s="776" t="e">
        <f t="shared" si="16"/>
        <v>#VALUE!</v>
      </c>
      <c r="C211" s="777" t="e">
        <f t="shared" si="17"/>
        <v>#VALUE!</v>
      </c>
      <c r="D211" s="777" t="e">
        <f t="shared" si="18"/>
        <v>#VALUE!</v>
      </c>
      <c r="E211" s="776" t="e">
        <f t="shared" si="14"/>
        <v>#VALUE!</v>
      </c>
      <c r="F211" s="778"/>
      <c r="G211" s="778"/>
      <c r="H211" s="776" t="e">
        <f t="shared" si="15"/>
        <v>#VALUE!</v>
      </c>
    </row>
    <row r="212" spans="1:8" ht="13.5" thickBot="1">
      <c r="A212" s="775">
        <v>196</v>
      </c>
      <c r="B212" s="776" t="e">
        <f t="shared" si="16"/>
        <v>#VALUE!</v>
      </c>
      <c r="C212" s="777" t="e">
        <f t="shared" si="17"/>
        <v>#VALUE!</v>
      </c>
      <c r="D212" s="777" t="e">
        <f t="shared" si="18"/>
        <v>#VALUE!</v>
      </c>
      <c r="E212" s="776" t="e">
        <f t="shared" si="14"/>
        <v>#VALUE!</v>
      </c>
      <c r="F212" s="778"/>
      <c r="G212" s="778"/>
      <c r="H212" s="776" t="e">
        <f t="shared" si="15"/>
        <v>#VALUE!</v>
      </c>
    </row>
    <row r="213" spans="1:8" ht="13.5" thickBot="1">
      <c r="A213" s="775">
        <v>197</v>
      </c>
      <c r="B213" s="776" t="e">
        <f t="shared" si="16"/>
        <v>#VALUE!</v>
      </c>
      <c r="C213" s="777" t="e">
        <f t="shared" si="17"/>
        <v>#VALUE!</v>
      </c>
      <c r="D213" s="777" t="e">
        <f t="shared" si="18"/>
        <v>#VALUE!</v>
      </c>
      <c r="E213" s="776" t="e">
        <f t="shared" si="14"/>
        <v>#VALUE!</v>
      </c>
      <c r="F213" s="778"/>
      <c r="G213" s="778"/>
      <c r="H213" s="776" t="e">
        <f t="shared" si="15"/>
        <v>#VALUE!</v>
      </c>
    </row>
    <row r="214" spans="1:8" ht="13.5" thickBot="1">
      <c r="A214" s="775">
        <v>198</v>
      </c>
      <c r="B214" s="776" t="e">
        <f t="shared" si="16"/>
        <v>#VALUE!</v>
      </c>
      <c r="C214" s="777" t="e">
        <f t="shared" si="17"/>
        <v>#VALUE!</v>
      </c>
      <c r="D214" s="777" t="e">
        <f t="shared" si="18"/>
        <v>#VALUE!</v>
      </c>
      <c r="E214" s="776" t="e">
        <f t="shared" ref="E214:E256" si="19">IF($B214*$B$5&gt;0,$B214*$B$5,0)</f>
        <v>#VALUE!</v>
      </c>
      <c r="F214" s="778"/>
      <c r="G214" s="778"/>
      <c r="H214" s="776" t="e">
        <f t="shared" si="15"/>
        <v>#VALUE!</v>
      </c>
    </row>
    <row r="215" spans="1:8" ht="13.5" thickBot="1">
      <c r="A215" s="775">
        <v>199</v>
      </c>
      <c r="B215" s="776" t="e">
        <f t="shared" si="16"/>
        <v>#VALUE!</v>
      </c>
      <c r="C215" s="777" t="e">
        <f t="shared" si="17"/>
        <v>#VALUE!</v>
      </c>
      <c r="D215" s="777" t="e">
        <f t="shared" si="18"/>
        <v>#VALUE!</v>
      </c>
      <c r="E215" s="776" t="e">
        <f t="shared" si="19"/>
        <v>#VALUE!</v>
      </c>
      <c r="F215" s="778"/>
      <c r="G215" s="778"/>
      <c r="H215" s="776" t="e">
        <f t="shared" si="15"/>
        <v>#VALUE!</v>
      </c>
    </row>
    <row r="216" spans="1:8" ht="13.5" thickBot="1">
      <c r="A216" s="775">
        <v>200</v>
      </c>
      <c r="B216" s="776" t="e">
        <f t="shared" si="16"/>
        <v>#VALUE!</v>
      </c>
      <c r="C216" s="777" t="e">
        <f t="shared" si="17"/>
        <v>#VALUE!</v>
      </c>
      <c r="D216" s="777" t="e">
        <f t="shared" si="18"/>
        <v>#VALUE!</v>
      </c>
      <c r="E216" s="776" t="e">
        <f t="shared" si="19"/>
        <v>#VALUE!</v>
      </c>
      <c r="F216" s="778"/>
      <c r="G216" s="778"/>
      <c r="H216" s="776" t="e">
        <f t="shared" si="15"/>
        <v>#VALUE!</v>
      </c>
    </row>
    <row r="217" spans="1:8" ht="13.5" thickBot="1">
      <c r="A217" s="775">
        <v>201</v>
      </c>
      <c r="B217" s="776" t="e">
        <f t="shared" si="16"/>
        <v>#VALUE!</v>
      </c>
      <c r="C217" s="777" t="e">
        <f t="shared" si="17"/>
        <v>#VALUE!</v>
      </c>
      <c r="D217" s="777" t="e">
        <f t="shared" si="18"/>
        <v>#VALUE!</v>
      </c>
      <c r="E217" s="776" t="e">
        <f t="shared" si="19"/>
        <v>#VALUE!</v>
      </c>
      <c r="F217" s="778"/>
      <c r="G217" s="778"/>
      <c r="H217" s="776" t="e">
        <f t="shared" si="15"/>
        <v>#VALUE!</v>
      </c>
    </row>
    <row r="218" spans="1:8" ht="13.5" thickBot="1">
      <c r="A218" s="775">
        <v>202</v>
      </c>
      <c r="B218" s="776" t="e">
        <f t="shared" si="16"/>
        <v>#VALUE!</v>
      </c>
      <c r="C218" s="777" t="e">
        <f t="shared" si="17"/>
        <v>#VALUE!</v>
      </c>
      <c r="D218" s="777" t="e">
        <f t="shared" si="18"/>
        <v>#VALUE!</v>
      </c>
      <c r="E218" s="776" t="e">
        <f t="shared" si="19"/>
        <v>#VALUE!</v>
      </c>
      <c r="F218" s="778"/>
      <c r="G218" s="778"/>
      <c r="H218" s="776" t="e">
        <f t="shared" si="15"/>
        <v>#VALUE!</v>
      </c>
    </row>
    <row r="219" spans="1:8" ht="13.5" thickBot="1">
      <c r="A219" s="775">
        <v>203</v>
      </c>
      <c r="B219" s="776" t="e">
        <f t="shared" si="16"/>
        <v>#VALUE!</v>
      </c>
      <c r="C219" s="777" t="e">
        <f t="shared" si="17"/>
        <v>#VALUE!</v>
      </c>
      <c r="D219" s="777" t="e">
        <f t="shared" si="18"/>
        <v>#VALUE!</v>
      </c>
      <c r="E219" s="776" t="e">
        <f t="shared" si="19"/>
        <v>#VALUE!</v>
      </c>
      <c r="F219" s="778"/>
      <c r="G219" s="778"/>
      <c r="H219" s="776" t="e">
        <f t="shared" si="15"/>
        <v>#VALUE!</v>
      </c>
    </row>
    <row r="220" spans="1:8" ht="13.5" thickBot="1">
      <c r="A220" s="775">
        <v>204</v>
      </c>
      <c r="B220" s="776" t="e">
        <f t="shared" si="16"/>
        <v>#VALUE!</v>
      </c>
      <c r="C220" s="777" t="e">
        <f t="shared" si="17"/>
        <v>#VALUE!</v>
      </c>
      <c r="D220" s="777" t="e">
        <f t="shared" si="18"/>
        <v>#VALUE!</v>
      </c>
      <c r="E220" s="776" t="e">
        <f t="shared" si="19"/>
        <v>#VALUE!</v>
      </c>
      <c r="F220" s="778"/>
      <c r="G220" s="778"/>
      <c r="H220" s="776" t="e">
        <f t="shared" si="15"/>
        <v>#VALUE!</v>
      </c>
    </row>
    <row r="221" spans="1:8" ht="13.5" thickBot="1">
      <c r="A221" s="775">
        <v>205</v>
      </c>
      <c r="B221" s="776" t="e">
        <f t="shared" si="16"/>
        <v>#VALUE!</v>
      </c>
      <c r="C221" s="777" t="e">
        <f t="shared" si="17"/>
        <v>#VALUE!</v>
      </c>
      <c r="D221" s="777" t="e">
        <f t="shared" si="18"/>
        <v>#VALUE!</v>
      </c>
      <c r="E221" s="776" t="e">
        <f t="shared" si="19"/>
        <v>#VALUE!</v>
      </c>
      <c r="F221" s="778"/>
      <c r="G221" s="778"/>
      <c r="H221" s="776" t="e">
        <f t="shared" si="15"/>
        <v>#VALUE!</v>
      </c>
    </row>
    <row r="222" spans="1:8" ht="13.5" thickBot="1">
      <c r="A222" s="775">
        <v>206</v>
      </c>
      <c r="B222" s="776" t="e">
        <f t="shared" si="16"/>
        <v>#VALUE!</v>
      </c>
      <c r="C222" s="777" t="e">
        <f t="shared" si="17"/>
        <v>#VALUE!</v>
      </c>
      <c r="D222" s="777" t="e">
        <f t="shared" si="18"/>
        <v>#VALUE!</v>
      </c>
      <c r="E222" s="776" t="e">
        <f t="shared" si="19"/>
        <v>#VALUE!</v>
      </c>
      <c r="F222" s="778"/>
      <c r="G222" s="778"/>
      <c r="H222" s="776" t="e">
        <f t="shared" si="15"/>
        <v>#VALUE!</v>
      </c>
    </row>
    <row r="223" spans="1:8" ht="13.5" thickBot="1">
      <c r="A223" s="775">
        <v>207</v>
      </c>
      <c r="B223" s="776" t="e">
        <f t="shared" si="16"/>
        <v>#VALUE!</v>
      </c>
      <c r="C223" s="777" t="e">
        <f t="shared" si="17"/>
        <v>#VALUE!</v>
      </c>
      <c r="D223" s="777" t="e">
        <f t="shared" si="18"/>
        <v>#VALUE!</v>
      </c>
      <c r="E223" s="776" t="e">
        <f t="shared" si="19"/>
        <v>#VALUE!</v>
      </c>
      <c r="F223" s="778"/>
      <c r="G223" s="778"/>
      <c r="H223" s="776" t="e">
        <f t="shared" si="15"/>
        <v>#VALUE!</v>
      </c>
    </row>
    <row r="224" spans="1:8" ht="13.5" thickBot="1">
      <c r="A224" s="775">
        <v>208</v>
      </c>
      <c r="B224" s="776" t="e">
        <f t="shared" si="16"/>
        <v>#VALUE!</v>
      </c>
      <c r="C224" s="777" t="e">
        <f t="shared" si="17"/>
        <v>#VALUE!</v>
      </c>
      <c r="D224" s="777" t="e">
        <f t="shared" si="18"/>
        <v>#VALUE!</v>
      </c>
      <c r="E224" s="776" t="e">
        <f t="shared" si="19"/>
        <v>#VALUE!</v>
      </c>
      <c r="F224" s="778"/>
      <c r="G224" s="778"/>
      <c r="H224" s="776" t="e">
        <f t="shared" si="15"/>
        <v>#VALUE!</v>
      </c>
    </row>
    <row r="225" spans="1:8" ht="13.5" thickBot="1">
      <c r="A225" s="775">
        <v>209</v>
      </c>
      <c r="B225" s="776" t="e">
        <f t="shared" si="16"/>
        <v>#VALUE!</v>
      </c>
      <c r="C225" s="777" t="e">
        <f t="shared" si="17"/>
        <v>#VALUE!</v>
      </c>
      <c r="D225" s="777" t="e">
        <f t="shared" si="18"/>
        <v>#VALUE!</v>
      </c>
      <c r="E225" s="776" t="e">
        <f t="shared" si="19"/>
        <v>#VALUE!</v>
      </c>
      <c r="F225" s="778"/>
      <c r="G225" s="778"/>
      <c r="H225" s="776" t="e">
        <f t="shared" si="15"/>
        <v>#VALUE!</v>
      </c>
    </row>
    <row r="226" spans="1:8" ht="13.5" thickBot="1">
      <c r="A226" s="775">
        <v>210</v>
      </c>
      <c r="B226" s="776" t="e">
        <f t="shared" si="16"/>
        <v>#VALUE!</v>
      </c>
      <c r="C226" s="777" t="e">
        <f t="shared" si="17"/>
        <v>#VALUE!</v>
      </c>
      <c r="D226" s="777" t="e">
        <f t="shared" si="18"/>
        <v>#VALUE!</v>
      </c>
      <c r="E226" s="776" t="e">
        <f t="shared" si="19"/>
        <v>#VALUE!</v>
      </c>
      <c r="F226" s="778"/>
      <c r="G226" s="778"/>
      <c r="H226" s="776" t="e">
        <f t="shared" si="15"/>
        <v>#VALUE!</v>
      </c>
    </row>
    <row r="227" spans="1:8" ht="13.5" thickBot="1">
      <c r="A227" s="775">
        <v>211</v>
      </c>
      <c r="B227" s="776" t="e">
        <f t="shared" si="16"/>
        <v>#VALUE!</v>
      </c>
      <c r="C227" s="777" t="e">
        <f t="shared" si="17"/>
        <v>#VALUE!</v>
      </c>
      <c r="D227" s="777" t="e">
        <f t="shared" si="18"/>
        <v>#VALUE!</v>
      </c>
      <c r="E227" s="776" t="e">
        <f t="shared" si="19"/>
        <v>#VALUE!</v>
      </c>
      <c r="F227" s="778"/>
      <c r="G227" s="778"/>
      <c r="H227" s="776" t="e">
        <f t="shared" si="15"/>
        <v>#VALUE!</v>
      </c>
    </row>
    <row r="228" spans="1:8" ht="13.5" thickBot="1">
      <c r="A228" s="775">
        <v>212</v>
      </c>
      <c r="B228" s="776" t="e">
        <f t="shared" si="16"/>
        <v>#VALUE!</v>
      </c>
      <c r="C228" s="777" t="e">
        <f t="shared" si="17"/>
        <v>#VALUE!</v>
      </c>
      <c r="D228" s="777" t="e">
        <f t="shared" si="18"/>
        <v>#VALUE!</v>
      </c>
      <c r="E228" s="776" t="e">
        <f t="shared" si="19"/>
        <v>#VALUE!</v>
      </c>
      <c r="F228" s="778"/>
      <c r="G228" s="778"/>
      <c r="H228" s="776" t="e">
        <f t="shared" si="15"/>
        <v>#VALUE!</v>
      </c>
    </row>
    <row r="229" spans="1:8" ht="13.5" thickBot="1">
      <c r="A229" s="775">
        <v>213</v>
      </c>
      <c r="B229" s="776" t="e">
        <f t="shared" si="16"/>
        <v>#VALUE!</v>
      </c>
      <c r="C229" s="777" t="e">
        <f t="shared" si="17"/>
        <v>#VALUE!</v>
      </c>
      <c r="D229" s="777" t="e">
        <f t="shared" si="18"/>
        <v>#VALUE!</v>
      </c>
      <c r="E229" s="776" t="e">
        <f t="shared" si="19"/>
        <v>#VALUE!</v>
      </c>
      <c r="F229" s="778"/>
      <c r="G229" s="778"/>
      <c r="H229" s="776" t="e">
        <f t="shared" si="15"/>
        <v>#VALUE!</v>
      </c>
    </row>
    <row r="230" spans="1:8" ht="13.5" thickBot="1">
      <c r="A230" s="775">
        <v>214</v>
      </c>
      <c r="B230" s="776" t="e">
        <f t="shared" si="16"/>
        <v>#VALUE!</v>
      </c>
      <c r="C230" s="777" t="e">
        <f t="shared" si="17"/>
        <v>#VALUE!</v>
      </c>
      <c r="D230" s="777" t="e">
        <f t="shared" si="18"/>
        <v>#VALUE!</v>
      </c>
      <c r="E230" s="776" t="e">
        <f t="shared" si="19"/>
        <v>#VALUE!</v>
      </c>
      <c r="F230" s="778"/>
      <c r="G230" s="778"/>
      <c r="H230" s="776" t="e">
        <f t="shared" si="15"/>
        <v>#VALUE!</v>
      </c>
    </row>
    <row r="231" spans="1:8" ht="13.5" thickBot="1">
      <c r="A231" s="775">
        <v>215</v>
      </c>
      <c r="B231" s="776" t="e">
        <f t="shared" si="16"/>
        <v>#VALUE!</v>
      </c>
      <c r="C231" s="777" t="e">
        <f t="shared" si="17"/>
        <v>#VALUE!</v>
      </c>
      <c r="D231" s="777" t="e">
        <f t="shared" si="18"/>
        <v>#VALUE!</v>
      </c>
      <c r="E231" s="776" t="e">
        <f t="shared" si="19"/>
        <v>#VALUE!</v>
      </c>
      <c r="F231" s="778"/>
      <c r="G231" s="778"/>
      <c r="H231" s="776" t="e">
        <f t="shared" si="15"/>
        <v>#VALUE!</v>
      </c>
    </row>
    <row r="232" spans="1:8" ht="13.5" thickBot="1">
      <c r="A232" s="775">
        <v>216</v>
      </c>
      <c r="B232" s="776" t="e">
        <f t="shared" si="16"/>
        <v>#VALUE!</v>
      </c>
      <c r="C232" s="777" t="e">
        <f t="shared" si="17"/>
        <v>#VALUE!</v>
      </c>
      <c r="D232" s="777" t="e">
        <f t="shared" si="18"/>
        <v>#VALUE!</v>
      </c>
      <c r="E232" s="776" t="e">
        <f t="shared" si="19"/>
        <v>#VALUE!</v>
      </c>
      <c r="F232" s="778"/>
      <c r="G232" s="778"/>
      <c r="H232" s="776" t="e">
        <f t="shared" si="15"/>
        <v>#VALUE!</v>
      </c>
    </row>
    <row r="233" spans="1:8" ht="13.5" thickBot="1">
      <c r="A233" s="775">
        <v>217</v>
      </c>
      <c r="B233" s="776" t="e">
        <f t="shared" si="16"/>
        <v>#VALUE!</v>
      </c>
      <c r="C233" s="777" t="e">
        <f t="shared" si="17"/>
        <v>#VALUE!</v>
      </c>
      <c r="D233" s="777" t="e">
        <f t="shared" si="18"/>
        <v>#VALUE!</v>
      </c>
      <c r="E233" s="776" t="e">
        <f t="shared" si="19"/>
        <v>#VALUE!</v>
      </c>
      <c r="F233" s="778"/>
      <c r="G233" s="778"/>
      <c r="H233" s="776" t="e">
        <f t="shared" si="15"/>
        <v>#VALUE!</v>
      </c>
    </row>
    <row r="234" spans="1:8" ht="13.5" thickBot="1">
      <c r="A234" s="775">
        <v>218</v>
      </c>
      <c r="B234" s="776" t="e">
        <f t="shared" si="16"/>
        <v>#VALUE!</v>
      </c>
      <c r="C234" s="777" t="e">
        <f t="shared" si="17"/>
        <v>#VALUE!</v>
      </c>
      <c r="D234" s="777" t="e">
        <f t="shared" si="18"/>
        <v>#VALUE!</v>
      </c>
      <c r="E234" s="776" t="e">
        <f t="shared" si="19"/>
        <v>#VALUE!</v>
      </c>
      <c r="F234" s="778"/>
      <c r="G234" s="778"/>
      <c r="H234" s="776" t="e">
        <f t="shared" si="15"/>
        <v>#VALUE!</v>
      </c>
    </row>
    <row r="235" spans="1:8" ht="13.5" thickBot="1">
      <c r="A235" s="775">
        <v>219</v>
      </c>
      <c r="B235" s="776" t="e">
        <f t="shared" si="16"/>
        <v>#VALUE!</v>
      </c>
      <c r="C235" s="777" t="e">
        <f t="shared" si="17"/>
        <v>#VALUE!</v>
      </c>
      <c r="D235" s="777" t="e">
        <f t="shared" si="18"/>
        <v>#VALUE!</v>
      </c>
      <c r="E235" s="776" t="e">
        <f t="shared" si="19"/>
        <v>#VALUE!</v>
      </c>
      <c r="F235" s="778"/>
      <c r="G235" s="778"/>
      <c r="H235" s="776" t="e">
        <f t="shared" si="15"/>
        <v>#VALUE!</v>
      </c>
    </row>
    <row r="236" spans="1:8" ht="13.5" thickBot="1">
      <c r="A236" s="775">
        <v>220</v>
      </c>
      <c r="B236" s="776" t="e">
        <f t="shared" si="16"/>
        <v>#VALUE!</v>
      </c>
      <c r="C236" s="777" t="e">
        <f t="shared" si="17"/>
        <v>#VALUE!</v>
      </c>
      <c r="D236" s="777" t="e">
        <f t="shared" si="18"/>
        <v>#VALUE!</v>
      </c>
      <c r="E236" s="776" t="e">
        <f t="shared" si="19"/>
        <v>#VALUE!</v>
      </c>
      <c r="F236" s="778"/>
      <c r="G236" s="778"/>
      <c r="H236" s="776" t="e">
        <f t="shared" si="15"/>
        <v>#VALUE!</v>
      </c>
    </row>
    <row r="237" spans="1:8" ht="13.5" thickBot="1">
      <c r="A237" s="775">
        <v>221</v>
      </c>
      <c r="B237" s="776" t="e">
        <f t="shared" si="16"/>
        <v>#VALUE!</v>
      </c>
      <c r="C237" s="777" t="e">
        <f t="shared" si="17"/>
        <v>#VALUE!</v>
      </c>
      <c r="D237" s="777" t="e">
        <f t="shared" si="18"/>
        <v>#VALUE!</v>
      </c>
      <c r="E237" s="776" t="e">
        <f t="shared" si="19"/>
        <v>#VALUE!</v>
      </c>
      <c r="F237" s="778"/>
      <c r="G237" s="778"/>
      <c r="H237" s="776" t="e">
        <f t="shared" si="15"/>
        <v>#VALUE!</v>
      </c>
    </row>
    <row r="238" spans="1:8" ht="13.5" thickBot="1">
      <c r="A238" s="775">
        <v>222</v>
      </c>
      <c r="B238" s="776" t="e">
        <f t="shared" si="16"/>
        <v>#VALUE!</v>
      </c>
      <c r="C238" s="777" t="e">
        <f t="shared" si="17"/>
        <v>#VALUE!</v>
      </c>
      <c r="D238" s="777" t="e">
        <f t="shared" si="18"/>
        <v>#VALUE!</v>
      </c>
      <c r="E238" s="776" t="e">
        <f t="shared" si="19"/>
        <v>#VALUE!</v>
      </c>
      <c r="F238" s="778"/>
      <c r="G238" s="778"/>
      <c r="H238" s="776" t="e">
        <f t="shared" si="15"/>
        <v>#VALUE!</v>
      </c>
    </row>
    <row r="239" spans="1:8" ht="13.5" thickBot="1">
      <c r="A239" s="775">
        <v>223</v>
      </c>
      <c r="B239" s="776" t="e">
        <f t="shared" si="16"/>
        <v>#VALUE!</v>
      </c>
      <c r="C239" s="777" t="e">
        <f t="shared" si="17"/>
        <v>#VALUE!</v>
      </c>
      <c r="D239" s="777" t="e">
        <f t="shared" si="18"/>
        <v>#VALUE!</v>
      </c>
      <c r="E239" s="776" t="e">
        <f t="shared" si="19"/>
        <v>#VALUE!</v>
      </c>
      <c r="F239" s="778"/>
      <c r="G239" s="778"/>
      <c r="H239" s="776" t="e">
        <f t="shared" si="15"/>
        <v>#VALUE!</v>
      </c>
    </row>
    <row r="240" spans="1:8" ht="13.5" thickBot="1">
      <c r="A240" s="775">
        <v>224</v>
      </c>
      <c r="B240" s="776" t="e">
        <f t="shared" si="16"/>
        <v>#VALUE!</v>
      </c>
      <c r="C240" s="777" t="e">
        <f t="shared" si="17"/>
        <v>#VALUE!</v>
      </c>
      <c r="D240" s="777" t="e">
        <f t="shared" si="18"/>
        <v>#VALUE!</v>
      </c>
      <c r="E240" s="776" t="e">
        <f t="shared" si="19"/>
        <v>#VALUE!</v>
      </c>
      <c r="F240" s="778"/>
      <c r="G240" s="778"/>
      <c r="H240" s="776" t="e">
        <f t="shared" si="15"/>
        <v>#VALUE!</v>
      </c>
    </row>
    <row r="241" spans="1:8" ht="13.5" thickBot="1">
      <c r="A241" s="775">
        <v>225</v>
      </c>
      <c r="B241" s="776" t="e">
        <f t="shared" si="16"/>
        <v>#VALUE!</v>
      </c>
      <c r="C241" s="777" t="e">
        <f t="shared" si="17"/>
        <v>#VALUE!</v>
      </c>
      <c r="D241" s="777" t="e">
        <f t="shared" si="18"/>
        <v>#VALUE!</v>
      </c>
      <c r="E241" s="776" t="e">
        <f t="shared" si="19"/>
        <v>#VALUE!</v>
      </c>
      <c r="F241" s="778"/>
      <c r="G241" s="778"/>
      <c r="H241" s="776" t="e">
        <f t="shared" si="15"/>
        <v>#VALUE!</v>
      </c>
    </row>
    <row r="242" spans="1:8" ht="13.5" thickBot="1">
      <c r="A242" s="775">
        <v>226</v>
      </c>
      <c r="B242" s="776" t="e">
        <f t="shared" ref="B242:B253" si="20">H241</f>
        <v>#VALUE!</v>
      </c>
      <c r="C242" s="777" t="e">
        <f t="shared" si="17"/>
        <v>#VALUE!</v>
      </c>
      <c r="D242" s="777" t="e">
        <f t="shared" si="18"/>
        <v>#VALUE!</v>
      </c>
      <c r="E242" s="776" t="e">
        <f t="shared" si="19"/>
        <v>#VALUE!</v>
      </c>
      <c r="F242" s="778"/>
      <c r="G242" s="778"/>
      <c r="H242" s="776" t="e">
        <f t="shared" si="15"/>
        <v>#VALUE!</v>
      </c>
    </row>
    <row r="243" spans="1:8" ht="13.5" thickBot="1">
      <c r="A243" s="775">
        <v>227</v>
      </c>
      <c r="B243" s="776" t="e">
        <f t="shared" si="20"/>
        <v>#VALUE!</v>
      </c>
      <c r="C243" s="777" t="e">
        <f t="shared" si="17"/>
        <v>#VALUE!</v>
      </c>
      <c r="D243" s="777" t="e">
        <f t="shared" si="18"/>
        <v>#VALUE!</v>
      </c>
      <c r="E243" s="776" t="e">
        <f t="shared" si="19"/>
        <v>#VALUE!</v>
      </c>
      <c r="F243" s="778"/>
      <c r="G243" s="778"/>
      <c r="H243" s="776" t="e">
        <f t="shared" si="15"/>
        <v>#VALUE!</v>
      </c>
    </row>
    <row r="244" spans="1:8" ht="13.5" thickBot="1">
      <c r="A244" s="775">
        <v>228</v>
      </c>
      <c r="B244" s="776" t="e">
        <f t="shared" si="20"/>
        <v>#VALUE!</v>
      </c>
      <c r="C244" s="777" t="e">
        <f t="shared" si="17"/>
        <v>#VALUE!</v>
      </c>
      <c r="D244" s="777" t="e">
        <f t="shared" si="18"/>
        <v>#VALUE!</v>
      </c>
      <c r="E244" s="776" t="e">
        <f t="shared" si="19"/>
        <v>#VALUE!</v>
      </c>
      <c r="F244" s="778"/>
      <c r="G244" s="778"/>
      <c r="H244" s="776" t="e">
        <f t="shared" si="15"/>
        <v>#VALUE!</v>
      </c>
    </row>
    <row r="245" spans="1:8" ht="13.5" thickBot="1">
      <c r="A245" s="775">
        <v>229</v>
      </c>
      <c r="B245" s="776" t="e">
        <f t="shared" si="20"/>
        <v>#VALUE!</v>
      </c>
      <c r="C245" s="777" t="e">
        <f t="shared" si="17"/>
        <v>#VALUE!</v>
      </c>
      <c r="D245" s="777" t="e">
        <f t="shared" si="18"/>
        <v>#VALUE!</v>
      </c>
      <c r="E245" s="776" t="e">
        <f t="shared" si="19"/>
        <v>#VALUE!</v>
      </c>
      <c r="F245" s="778"/>
      <c r="G245" s="778"/>
      <c r="H245" s="776" t="e">
        <f t="shared" si="15"/>
        <v>#VALUE!</v>
      </c>
    </row>
    <row r="246" spans="1:8" ht="13.5" thickBot="1">
      <c r="A246" s="775">
        <v>230</v>
      </c>
      <c r="B246" s="776" t="e">
        <f t="shared" si="20"/>
        <v>#VALUE!</v>
      </c>
      <c r="C246" s="777" t="e">
        <f t="shared" si="17"/>
        <v>#VALUE!</v>
      </c>
      <c r="D246" s="777" t="e">
        <f t="shared" si="18"/>
        <v>#VALUE!</v>
      </c>
      <c r="E246" s="776" t="e">
        <f t="shared" si="19"/>
        <v>#VALUE!</v>
      </c>
      <c r="F246" s="778"/>
      <c r="G246" s="778"/>
      <c r="H246" s="776" t="e">
        <f t="shared" si="15"/>
        <v>#VALUE!</v>
      </c>
    </row>
    <row r="247" spans="1:8" ht="13.5" thickBot="1">
      <c r="A247" s="775">
        <v>231</v>
      </c>
      <c r="B247" s="776" t="e">
        <f t="shared" si="20"/>
        <v>#VALUE!</v>
      </c>
      <c r="C247" s="777" t="e">
        <f t="shared" si="17"/>
        <v>#VALUE!</v>
      </c>
      <c r="D247" s="777" t="e">
        <f t="shared" si="18"/>
        <v>#VALUE!</v>
      </c>
      <c r="E247" s="776" t="e">
        <f t="shared" si="19"/>
        <v>#VALUE!</v>
      </c>
      <c r="F247" s="778"/>
      <c r="G247" s="778"/>
      <c r="H247" s="776" t="e">
        <f t="shared" si="15"/>
        <v>#VALUE!</v>
      </c>
    </row>
    <row r="248" spans="1:8" ht="13.5" thickBot="1">
      <c r="A248" s="775">
        <v>232</v>
      </c>
      <c r="B248" s="776" t="e">
        <f t="shared" si="20"/>
        <v>#VALUE!</v>
      </c>
      <c r="C248" s="777" t="e">
        <f t="shared" si="17"/>
        <v>#VALUE!</v>
      </c>
      <c r="D248" s="777" t="e">
        <f t="shared" si="18"/>
        <v>#VALUE!</v>
      </c>
      <c r="E248" s="776" t="e">
        <f t="shared" si="19"/>
        <v>#VALUE!</v>
      </c>
      <c r="F248" s="778"/>
      <c r="G248" s="778"/>
      <c r="H248" s="776" t="e">
        <f t="shared" si="15"/>
        <v>#VALUE!</v>
      </c>
    </row>
    <row r="249" spans="1:8" ht="13.5" thickBot="1">
      <c r="A249" s="775">
        <v>233</v>
      </c>
      <c r="B249" s="776" t="e">
        <f t="shared" si="20"/>
        <v>#VALUE!</v>
      </c>
      <c r="C249" s="777" t="e">
        <f t="shared" si="17"/>
        <v>#VALUE!</v>
      </c>
      <c r="D249" s="777" t="e">
        <f t="shared" si="18"/>
        <v>#VALUE!</v>
      </c>
      <c r="E249" s="776" t="e">
        <f t="shared" si="19"/>
        <v>#VALUE!</v>
      </c>
      <c r="F249" s="778"/>
      <c r="G249" s="778"/>
      <c r="H249" s="776" t="e">
        <f t="shared" si="15"/>
        <v>#VALUE!</v>
      </c>
    </row>
    <row r="250" spans="1:8" ht="13.5" thickBot="1">
      <c r="A250" s="775">
        <v>234</v>
      </c>
      <c r="B250" s="776" t="e">
        <f t="shared" si="20"/>
        <v>#VALUE!</v>
      </c>
      <c r="C250" s="777" t="e">
        <f t="shared" si="17"/>
        <v>#VALUE!</v>
      </c>
      <c r="D250" s="777" t="e">
        <f t="shared" si="18"/>
        <v>#VALUE!</v>
      </c>
      <c r="E250" s="776" t="e">
        <f t="shared" si="19"/>
        <v>#VALUE!</v>
      </c>
      <c r="F250" s="778"/>
      <c r="G250" s="778"/>
      <c r="H250" s="776" t="e">
        <f t="shared" si="15"/>
        <v>#VALUE!</v>
      </c>
    </row>
    <row r="251" spans="1:8" ht="13.5" thickBot="1">
      <c r="A251" s="775">
        <v>235</v>
      </c>
      <c r="B251" s="776" t="e">
        <f t="shared" si="20"/>
        <v>#VALUE!</v>
      </c>
      <c r="C251" s="777" t="e">
        <f t="shared" si="17"/>
        <v>#VALUE!</v>
      </c>
      <c r="D251" s="777" t="e">
        <f t="shared" si="18"/>
        <v>#VALUE!</v>
      </c>
      <c r="E251" s="776" t="e">
        <f t="shared" si="19"/>
        <v>#VALUE!</v>
      </c>
      <c r="F251" s="778"/>
      <c r="G251" s="778"/>
      <c r="H251" s="776" t="e">
        <f t="shared" si="15"/>
        <v>#VALUE!</v>
      </c>
    </row>
    <row r="252" spans="1:8" ht="13.5" thickBot="1">
      <c r="A252" s="775">
        <v>236</v>
      </c>
      <c r="B252" s="776" t="e">
        <f t="shared" si="20"/>
        <v>#VALUE!</v>
      </c>
      <c r="C252" s="777" t="e">
        <f t="shared" si="17"/>
        <v>#VALUE!</v>
      </c>
      <c r="D252" s="777" t="e">
        <f t="shared" si="18"/>
        <v>#VALUE!</v>
      </c>
      <c r="E252" s="776" t="e">
        <f t="shared" si="19"/>
        <v>#VALUE!</v>
      </c>
      <c r="F252" s="778"/>
      <c r="G252" s="778"/>
      <c r="H252" s="776" t="e">
        <f t="shared" si="15"/>
        <v>#VALUE!</v>
      </c>
    </row>
    <row r="253" spans="1:8" ht="13.5" thickBot="1">
      <c r="A253" s="775">
        <v>237</v>
      </c>
      <c r="B253" s="776" t="e">
        <f t="shared" si="20"/>
        <v>#VALUE!</v>
      </c>
      <c r="C253" s="777" t="e">
        <f t="shared" si="17"/>
        <v>#VALUE!</v>
      </c>
      <c r="D253" s="777" t="e">
        <f t="shared" si="18"/>
        <v>#VALUE!</v>
      </c>
      <c r="E253" s="776" t="e">
        <f t="shared" si="19"/>
        <v>#VALUE!</v>
      </c>
      <c r="F253" s="778"/>
      <c r="G253" s="778"/>
      <c r="H253" s="776" t="e">
        <f t="shared" si="15"/>
        <v>#VALUE!</v>
      </c>
    </row>
    <row r="254" spans="1:8" ht="13.5" thickBot="1">
      <c r="A254" s="775">
        <v>238</v>
      </c>
      <c r="B254" s="776" t="e">
        <f>H253</f>
        <v>#VALUE!</v>
      </c>
      <c r="C254" s="777" t="e">
        <f t="shared" si="17"/>
        <v>#VALUE!</v>
      </c>
      <c r="D254" s="777" t="e">
        <f t="shared" si="18"/>
        <v>#VALUE!</v>
      </c>
      <c r="E254" s="776" t="e">
        <f t="shared" si="19"/>
        <v>#VALUE!</v>
      </c>
      <c r="F254" s="778"/>
      <c r="G254" s="778"/>
      <c r="H254" s="776" t="e">
        <f t="shared" si="15"/>
        <v>#VALUE!</v>
      </c>
    </row>
    <row r="255" spans="1:8" ht="13.5" thickBot="1">
      <c r="A255" s="775">
        <v>239</v>
      </c>
      <c r="B255" s="776" t="e">
        <f>H254</f>
        <v>#VALUE!</v>
      </c>
      <c r="C255" s="777" t="e">
        <f t="shared" si="17"/>
        <v>#VALUE!</v>
      </c>
      <c r="D255" s="777" t="e">
        <f t="shared" si="18"/>
        <v>#VALUE!</v>
      </c>
      <c r="E255" s="776" t="e">
        <f t="shared" si="19"/>
        <v>#VALUE!</v>
      </c>
      <c r="F255" s="778"/>
      <c r="G255" s="778"/>
      <c r="H255" s="776" t="e">
        <f t="shared" si="15"/>
        <v>#VALUE!</v>
      </c>
    </row>
    <row r="256" spans="1:8" ht="13.5" thickBot="1">
      <c r="A256" s="779">
        <v>240</v>
      </c>
      <c r="B256" s="776" t="e">
        <f>H255</f>
        <v>#VALUE!</v>
      </c>
      <c r="C256" s="777" t="e">
        <f t="shared" si="17"/>
        <v>#VALUE!</v>
      </c>
      <c r="D256" s="777" t="e">
        <f t="shared" si="18"/>
        <v>#VALUE!</v>
      </c>
      <c r="E256" s="776" t="e">
        <f t="shared" si="19"/>
        <v>#VALUE!</v>
      </c>
      <c r="F256" s="778"/>
      <c r="G256" s="778"/>
      <c r="H256" s="776" t="e">
        <f t="shared" si="15"/>
        <v>#VALUE!</v>
      </c>
    </row>
  </sheetData>
  <mergeCells count="2">
    <mergeCell ref="A9:B9"/>
    <mergeCell ref="A1:XFD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555DA-90EC-415C-9DAB-CD5F477F00E0}">
  <sheetPr codeName="Sheet49">
    <tabColor rgb="FF92D050"/>
  </sheetPr>
  <dimension ref="A1:U8"/>
  <sheetViews>
    <sheetView workbookViewId="0">
      <selection sqref="A1:XFD1"/>
    </sheetView>
  </sheetViews>
  <sheetFormatPr defaultColWidth="9.140625" defaultRowHeight="12"/>
  <cols>
    <col min="1" max="1" width="17.85546875" style="82" customWidth="1"/>
    <col min="2" max="5" width="13.42578125" style="82" bestFit="1" customWidth="1"/>
    <col min="6" max="13" width="13.140625" style="82" bestFit="1" customWidth="1"/>
    <col min="14" max="19" width="12.7109375" style="82" bestFit="1" customWidth="1"/>
    <col min="20" max="21" width="11.5703125" style="82" bestFit="1" customWidth="1"/>
    <col min="22" max="16384" width="9.140625" style="82"/>
  </cols>
  <sheetData>
    <row r="1" spans="1:21" s="1176" customFormat="1" ht="15">
      <c r="A1" s="1176" t="s">
        <v>439</v>
      </c>
    </row>
    <row r="2" spans="1:21" ht="12.75" thickBot="1"/>
    <row r="3" spans="1:21" ht="12.75" thickBot="1">
      <c r="A3" s="228"/>
      <c r="B3" s="228" t="s">
        <v>12</v>
      </c>
      <c r="C3" s="228" t="s">
        <v>13</v>
      </c>
      <c r="D3" s="228" t="s">
        <v>14</v>
      </c>
      <c r="E3" s="228" t="s">
        <v>15</v>
      </c>
      <c r="F3" s="228" t="s">
        <v>16</v>
      </c>
      <c r="G3" s="228" t="s">
        <v>17</v>
      </c>
      <c r="H3" s="228" t="s">
        <v>18</v>
      </c>
      <c r="I3" s="228" t="s">
        <v>21</v>
      </c>
      <c r="J3" s="228" t="s">
        <v>22</v>
      </c>
      <c r="K3" s="228" t="s">
        <v>23</v>
      </c>
      <c r="L3" s="228" t="s">
        <v>261</v>
      </c>
      <c r="M3" s="228" t="s">
        <v>262</v>
      </c>
      <c r="N3" s="228" t="s">
        <v>263</v>
      </c>
      <c r="O3" s="228" t="s">
        <v>264</v>
      </c>
      <c r="P3" s="228" t="s">
        <v>265</v>
      </c>
      <c r="Q3" s="228" t="s">
        <v>266</v>
      </c>
      <c r="R3" s="228" t="s">
        <v>267</v>
      </c>
      <c r="S3" s="228" t="s">
        <v>268</v>
      </c>
      <c r="T3" s="228" t="s">
        <v>269</v>
      </c>
      <c r="U3" s="228" t="s">
        <v>270</v>
      </c>
    </row>
    <row r="4" spans="1:21" ht="12.75" thickBot="1">
      <c r="A4" s="229" t="s">
        <v>260</v>
      </c>
      <c r="B4" s="231" t="e">
        <f>SUM('Loan - RAS'!E17:E28)</f>
        <v>#VALUE!</v>
      </c>
      <c r="C4" s="231" t="e">
        <f>SUM('Loan - RAS'!E29:E40)</f>
        <v>#VALUE!</v>
      </c>
      <c r="D4" s="231" t="e">
        <f>SUM('Loan - RAS'!E41:E52)</f>
        <v>#VALUE!</v>
      </c>
      <c r="E4" s="231" t="e">
        <f>SUM('Loan - RAS'!E53:E64)</f>
        <v>#VALUE!</v>
      </c>
      <c r="F4" s="231" t="e">
        <f>SUM('Loan - RAS'!E65:E76)</f>
        <v>#VALUE!</v>
      </c>
      <c r="G4" s="231" t="e">
        <f>SUM('Loan - RAS'!E77:E88)</f>
        <v>#VALUE!</v>
      </c>
      <c r="H4" s="231" t="e">
        <f>SUM('Loan - RAS'!E89:E100)</f>
        <v>#VALUE!</v>
      </c>
      <c r="I4" s="231" t="e">
        <f>SUM('Loan - RAS'!E101:E112)</f>
        <v>#VALUE!</v>
      </c>
      <c r="J4" s="231" t="e">
        <f>SUM('Loan - RAS'!E113:E124)</f>
        <v>#VALUE!</v>
      </c>
      <c r="K4" s="231" t="e">
        <f>SUM('Loan - RAS'!E125:E136)</f>
        <v>#VALUE!</v>
      </c>
      <c r="L4" s="231" t="e">
        <f>SUM('Loan - RAS'!E137:E148)</f>
        <v>#VALUE!</v>
      </c>
      <c r="M4" s="231" t="e">
        <f>SUM('Loan - RAS'!E149:E160)</f>
        <v>#VALUE!</v>
      </c>
      <c r="N4" s="231" t="e">
        <f>SUM('Loan - RAS'!E161:E172)</f>
        <v>#VALUE!</v>
      </c>
      <c r="O4" s="231" t="e">
        <f>SUM('Loan - RAS'!E173:E184)</f>
        <v>#VALUE!</v>
      </c>
      <c r="P4" s="231" t="e">
        <f>SUM('Loan - RAS'!E185:E196)</f>
        <v>#VALUE!</v>
      </c>
      <c r="Q4" s="231" t="e">
        <f>SUM('Loan - RAS'!E197:E208)</f>
        <v>#VALUE!</v>
      </c>
      <c r="R4" s="231" t="e">
        <f>SUM('Loan - RAS'!E209:E220)</f>
        <v>#VALUE!</v>
      </c>
      <c r="S4" s="231" t="e">
        <f>SUM('Loan - RAS'!E221:E232)</f>
        <v>#VALUE!</v>
      </c>
      <c r="T4" s="231" t="e">
        <f>SUM('Loan - RAS'!E233:E244)</f>
        <v>#VALUE!</v>
      </c>
      <c r="U4" s="231" t="e">
        <f>SUM('Loan - RAS'!E245:E256)</f>
        <v>#VALUE!</v>
      </c>
    </row>
    <row r="5" spans="1:21" ht="12.75" thickBot="1">
      <c r="A5" s="229" t="s">
        <v>259</v>
      </c>
      <c r="B5" s="231" t="e">
        <f>'Loan - RAS'!H28</f>
        <v>#VALUE!</v>
      </c>
      <c r="C5" s="231" t="e">
        <f>'Loan - RAS'!H40</f>
        <v>#VALUE!</v>
      </c>
      <c r="D5" s="231" t="e">
        <f>'Loan - RAS'!H52</f>
        <v>#VALUE!</v>
      </c>
      <c r="E5" s="231" t="e">
        <f>'Loan - RAS'!H64</f>
        <v>#VALUE!</v>
      </c>
      <c r="F5" s="231" t="e">
        <f>'Loan - RAS'!H76</f>
        <v>#VALUE!</v>
      </c>
      <c r="G5" s="231" t="e">
        <f>'Loan - RAS'!H88</f>
        <v>#VALUE!</v>
      </c>
      <c r="H5" s="231" t="e">
        <f>'Loan - RAS'!H100</f>
        <v>#VALUE!</v>
      </c>
      <c r="I5" s="231" t="e">
        <f>'Loan - RAS'!H112</f>
        <v>#VALUE!</v>
      </c>
      <c r="J5" s="231" t="e">
        <f>'Loan - RAS'!H124</f>
        <v>#VALUE!</v>
      </c>
      <c r="K5" s="231" t="e">
        <f>'Loan - RAS'!H136</f>
        <v>#VALUE!</v>
      </c>
      <c r="L5" s="231" t="e">
        <f>'Loan - RAS'!H148</f>
        <v>#VALUE!</v>
      </c>
      <c r="M5" s="231" t="e">
        <f>'Loan - RAS'!H160</f>
        <v>#VALUE!</v>
      </c>
      <c r="N5" s="231" t="e">
        <f>'Loan - RAS'!H172</f>
        <v>#VALUE!</v>
      </c>
      <c r="O5" s="231" t="e">
        <f>'Loan - RAS'!H184</f>
        <v>#VALUE!</v>
      </c>
      <c r="P5" s="231" t="e">
        <f>'Loan - RAS'!H196</f>
        <v>#VALUE!</v>
      </c>
      <c r="Q5" s="231" t="e">
        <f>'Loan - RAS'!H208</f>
        <v>#VALUE!</v>
      </c>
      <c r="R5" s="231" t="e">
        <f>'Loan - RAS'!H220</f>
        <v>#VALUE!</v>
      </c>
      <c r="S5" s="231" t="e">
        <f>'Loan - RAS'!H232</f>
        <v>#VALUE!</v>
      </c>
      <c r="T5" s="231" t="e">
        <f>'Loan - RAS'!H244</f>
        <v>#VALUE!</v>
      </c>
      <c r="U5" s="231" t="e">
        <f>'Loan - RAS'!H256</f>
        <v>#VALUE!</v>
      </c>
    </row>
    <row r="6" spans="1:21" ht="12.75" thickBot="1">
      <c r="A6" s="229" t="s">
        <v>271</v>
      </c>
      <c r="B6" s="232" t="e">
        <f>'Loan - RAS'!$B$14*12</f>
        <v>#VALUE!</v>
      </c>
      <c r="C6" s="232" t="e">
        <f>'Loan - RAS'!$B$14*12</f>
        <v>#VALUE!</v>
      </c>
      <c r="D6" s="232" t="e">
        <f>'Loan - RAS'!$B$14*12</f>
        <v>#VALUE!</v>
      </c>
      <c r="E6" s="232" t="e">
        <f>'Loan - RAS'!$B$14*12</f>
        <v>#VALUE!</v>
      </c>
      <c r="F6" s="232" t="e">
        <f>'Loan - RAS'!$B$14*12</f>
        <v>#VALUE!</v>
      </c>
      <c r="G6" s="232" t="e">
        <f>'Loan - RAS'!$B$14*12</f>
        <v>#VALUE!</v>
      </c>
      <c r="H6" s="232" t="e">
        <f>'Loan - RAS'!$B$14*12</f>
        <v>#VALUE!</v>
      </c>
      <c r="I6" s="232" t="e">
        <f>'Loan - RAS'!$B$14*12</f>
        <v>#VALUE!</v>
      </c>
      <c r="J6" s="232" t="e">
        <f>'Loan - RAS'!$B$14*12</f>
        <v>#VALUE!</v>
      </c>
      <c r="K6" s="232" t="e">
        <f>'Loan - RAS'!$B$14*12</f>
        <v>#VALUE!</v>
      </c>
      <c r="L6" s="232" t="e">
        <f>'Loan - RAS'!$B$14*12</f>
        <v>#VALUE!</v>
      </c>
      <c r="M6" s="232" t="e">
        <f>'Loan - RAS'!$B$14*12</f>
        <v>#VALUE!</v>
      </c>
      <c r="N6" s="232" t="e">
        <f>'Loan - RAS'!$B$14*12</f>
        <v>#VALUE!</v>
      </c>
      <c r="O6" s="232" t="e">
        <f>'Loan - RAS'!$B$14*12</f>
        <v>#VALUE!</v>
      </c>
      <c r="P6" s="232" t="e">
        <f>'Loan - RAS'!$B$14*12</f>
        <v>#VALUE!</v>
      </c>
      <c r="Q6" s="232" t="e">
        <f>'Loan - RAS'!$B$14*12</f>
        <v>#VALUE!</v>
      </c>
      <c r="R6" s="232" t="e">
        <f>'Loan - RAS'!$B$14*12</f>
        <v>#VALUE!</v>
      </c>
      <c r="S6" s="232" t="e">
        <f>'Loan - RAS'!$B$14*12</f>
        <v>#VALUE!</v>
      </c>
      <c r="T6" s="232" t="e">
        <f>'Loan - RAS'!$B$14*12</f>
        <v>#VALUE!</v>
      </c>
      <c r="U6" s="232" t="e">
        <f>'Loan - RAS'!$B$14*12</f>
        <v>#VALUE!</v>
      </c>
    </row>
    <row r="8" spans="1:21">
      <c r="B8" s="233"/>
    </row>
  </sheetData>
  <mergeCells count="1">
    <mergeCell ref="A1:XFD1"/>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70FD4-1478-4237-818C-E8E25022E78A}">
  <sheetPr codeName="Sheet20">
    <tabColor theme="5" tint="0.39997558519241921"/>
  </sheetPr>
  <dimension ref="A1:AJ34"/>
  <sheetViews>
    <sheetView zoomScale="85" zoomScaleNormal="85" workbookViewId="0">
      <selection activeCell="D14" sqref="D14"/>
    </sheetView>
  </sheetViews>
  <sheetFormatPr defaultColWidth="9.140625" defaultRowHeight="12.75"/>
  <cols>
    <col min="1" max="1" width="2.42578125" style="695" customWidth="1"/>
    <col min="2" max="2" width="35.5703125" style="695" bestFit="1" customWidth="1"/>
    <col min="3" max="3" width="14.7109375" style="695" bestFit="1" customWidth="1"/>
    <col min="4" max="4" width="15.28515625" style="695" bestFit="1" customWidth="1"/>
    <col min="5" max="5" width="13.85546875" style="695" bestFit="1" customWidth="1"/>
    <col min="6" max="6" width="14.5703125" style="695" bestFit="1" customWidth="1"/>
    <col min="7" max="7" width="14.28515625" style="695" bestFit="1" customWidth="1"/>
    <col min="8" max="10" width="14.5703125" style="695" bestFit="1" customWidth="1"/>
    <col min="11" max="11" width="13.7109375" style="695" bestFit="1" customWidth="1"/>
    <col min="12" max="12" width="14.28515625" style="695" bestFit="1" customWidth="1"/>
    <col min="13" max="13" width="14.5703125" style="695" bestFit="1" customWidth="1"/>
    <col min="14" max="14" width="14.28515625" style="695" bestFit="1" customWidth="1"/>
    <col min="15" max="15" width="14.5703125" style="695" bestFit="1" customWidth="1"/>
    <col min="16" max="16" width="15.5703125" style="695" bestFit="1" customWidth="1"/>
    <col min="17" max="19" width="14.28515625" style="695" bestFit="1" customWidth="1"/>
    <col min="20" max="21" width="14.5703125" style="695" bestFit="1" customWidth="1"/>
    <col min="22" max="22" width="14.28515625" style="695" bestFit="1" customWidth="1"/>
    <col min="23" max="24" width="14.5703125" style="695" bestFit="1" customWidth="1"/>
    <col min="25" max="25" width="14.28515625" style="695" bestFit="1" customWidth="1"/>
    <col min="26" max="27" width="14.5703125" style="695" bestFit="1" customWidth="1"/>
    <col min="28" max="28" width="14.28515625" style="695" bestFit="1" customWidth="1"/>
    <col min="29" max="29" width="15.28515625" style="695" bestFit="1" customWidth="1"/>
    <col min="30" max="31" width="15.5703125" style="695" bestFit="1" customWidth="1"/>
    <col min="32" max="33" width="15.28515625" style="695" bestFit="1" customWidth="1"/>
    <col min="34" max="34" width="15.5703125" style="695" bestFit="1" customWidth="1"/>
    <col min="35" max="35" width="15.28515625" style="695" bestFit="1" customWidth="1"/>
    <col min="36" max="36" width="15.5703125" style="695" bestFit="1" customWidth="1"/>
    <col min="37" max="16384" width="9.140625" style="695"/>
  </cols>
  <sheetData>
    <row r="1" spans="1:36" s="781" customFormat="1" ht="15">
      <c r="A1" s="1204" t="s">
        <v>563</v>
      </c>
      <c r="B1" s="1204"/>
      <c r="C1" s="1204"/>
      <c r="D1" s="1204"/>
      <c r="E1" s="1204"/>
      <c r="F1" s="1204"/>
      <c r="G1" s="1204"/>
      <c r="H1" s="1204"/>
      <c r="I1" s="1204"/>
      <c r="J1" s="1204"/>
      <c r="K1" s="1204"/>
      <c r="L1" s="1204"/>
      <c r="M1" s="1204"/>
      <c r="N1" s="1204"/>
      <c r="O1" s="1204"/>
      <c r="P1" s="1204"/>
      <c r="Q1" s="1204"/>
      <c r="R1" s="1204"/>
      <c r="S1" s="1204"/>
      <c r="T1" s="1204"/>
      <c r="U1" s="1204"/>
      <c r="V1" s="1204"/>
      <c r="W1" s="1204"/>
      <c r="X1" s="1204"/>
      <c r="Y1" s="1204"/>
      <c r="Z1" s="1204"/>
      <c r="AA1" s="1204"/>
      <c r="AB1" s="1204"/>
      <c r="AC1" s="1204"/>
      <c r="AD1" s="780"/>
      <c r="AE1" s="780"/>
      <c r="AF1" s="780"/>
      <c r="AG1" s="780"/>
      <c r="AH1" s="780"/>
      <c r="AI1" s="780"/>
      <c r="AJ1" s="780"/>
    </row>
    <row r="2" spans="1:36" ht="13.5" thickBot="1">
      <c r="A2" s="570"/>
      <c r="B2" s="570"/>
      <c r="C2" s="570"/>
      <c r="D2" s="570"/>
      <c r="E2" s="570"/>
      <c r="F2" s="570"/>
      <c r="G2" s="570"/>
      <c r="H2" s="570"/>
      <c r="I2" s="570"/>
      <c r="J2" s="570"/>
      <c r="K2" s="570"/>
      <c r="L2" s="570"/>
      <c r="M2" s="570"/>
      <c r="N2" s="570"/>
      <c r="O2" s="570"/>
      <c r="P2" s="570">
        <v>1</v>
      </c>
      <c r="Q2" s="570"/>
      <c r="R2" s="570"/>
      <c r="S2" s="570"/>
      <c r="T2" s="570"/>
      <c r="U2" s="570"/>
      <c r="V2" s="570"/>
      <c r="W2" s="570"/>
      <c r="X2" s="570"/>
      <c r="Y2" s="570"/>
      <c r="Z2" s="570"/>
      <c r="AA2" s="570"/>
      <c r="AB2" s="334">
        <v>1</v>
      </c>
      <c r="AC2" s="334">
        <v>2</v>
      </c>
      <c r="AD2" s="334">
        <v>3</v>
      </c>
      <c r="AE2" s="334">
        <v>4</v>
      </c>
      <c r="AF2" s="334">
        <v>5</v>
      </c>
      <c r="AG2" s="334">
        <v>6</v>
      </c>
      <c r="AH2" s="334">
        <v>7</v>
      </c>
      <c r="AI2" s="334">
        <v>8</v>
      </c>
      <c r="AJ2" s="334">
        <v>9</v>
      </c>
    </row>
    <row r="3" spans="1:36" ht="13.5" thickBot="1">
      <c r="A3" s="570"/>
      <c r="B3" s="570"/>
      <c r="C3" s="1205" t="s">
        <v>112</v>
      </c>
      <c r="D3" s="1167" t="str">
        <f>C3</f>
        <v>YEAR 1</v>
      </c>
      <c r="E3" s="1167"/>
      <c r="F3" s="1167"/>
      <c r="G3" s="1167"/>
      <c r="H3" s="1167"/>
      <c r="I3" s="1167"/>
      <c r="J3" s="1167"/>
      <c r="K3" s="1167"/>
      <c r="L3" s="1167"/>
      <c r="M3" s="1167"/>
      <c r="N3" s="1167"/>
      <c r="O3" s="1167"/>
      <c r="P3" s="1205" t="s">
        <v>113</v>
      </c>
      <c r="Q3" s="1170" t="s">
        <v>13</v>
      </c>
      <c r="R3" s="1170"/>
      <c r="S3" s="1170"/>
      <c r="T3" s="1170"/>
      <c r="U3" s="1170"/>
      <c r="V3" s="1170"/>
      <c r="W3" s="1170"/>
      <c r="X3" s="1170"/>
      <c r="Y3" s="1170"/>
      <c r="Z3" s="1170"/>
      <c r="AA3" s="1170"/>
      <c r="AB3" s="1170"/>
      <c r="AC3" s="1170" t="s">
        <v>114</v>
      </c>
      <c r="AD3" s="1170" t="s">
        <v>115</v>
      </c>
      <c r="AE3" s="1170" t="s">
        <v>116</v>
      </c>
      <c r="AF3" s="1170" t="s">
        <v>117</v>
      </c>
      <c r="AG3" s="1170" t="s">
        <v>118</v>
      </c>
      <c r="AH3" s="1170" t="s">
        <v>119</v>
      </c>
      <c r="AI3" s="1170" t="s">
        <v>120</v>
      </c>
      <c r="AJ3" s="1170" t="s">
        <v>121</v>
      </c>
    </row>
    <row r="4" spans="1:36" ht="13.5" thickBot="1">
      <c r="A4" s="570"/>
      <c r="B4" s="570"/>
      <c r="C4" s="1205"/>
      <c r="D4" s="599" t="s">
        <v>134</v>
      </c>
      <c r="E4" s="599" t="s">
        <v>135</v>
      </c>
      <c r="F4" s="599" t="s">
        <v>136</v>
      </c>
      <c r="G4" s="599" t="s">
        <v>137</v>
      </c>
      <c r="H4" s="599" t="s">
        <v>138</v>
      </c>
      <c r="I4" s="599" t="s">
        <v>139</v>
      </c>
      <c r="J4" s="599" t="s">
        <v>140</v>
      </c>
      <c r="K4" s="599" t="s">
        <v>141</v>
      </c>
      <c r="L4" s="599" t="s">
        <v>142</v>
      </c>
      <c r="M4" s="599" t="s">
        <v>143</v>
      </c>
      <c r="N4" s="599" t="s">
        <v>144</v>
      </c>
      <c r="O4" s="599" t="s">
        <v>145</v>
      </c>
      <c r="P4" s="1205"/>
      <c r="Q4" s="599" t="s">
        <v>134</v>
      </c>
      <c r="R4" s="599" t="s">
        <v>135</v>
      </c>
      <c r="S4" s="599" t="s">
        <v>136</v>
      </c>
      <c r="T4" s="599" t="s">
        <v>137</v>
      </c>
      <c r="U4" s="599" t="s">
        <v>138</v>
      </c>
      <c r="V4" s="599" t="s">
        <v>139</v>
      </c>
      <c r="W4" s="599" t="s">
        <v>140</v>
      </c>
      <c r="X4" s="599" t="s">
        <v>141</v>
      </c>
      <c r="Y4" s="599" t="s">
        <v>142</v>
      </c>
      <c r="Z4" s="599" t="s">
        <v>143</v>
      </c>
      <c r="AA4" s="599" t="s">
        <v>144</v>
      </c>
      <c r="AB4" s="599" t="s">
        <v>145</v>
      </c>
      <c r="AC4" s="1170"/>
      <c r="AD4" s="1170"/>
      <c r="AE4" s="1170"/>
      <c r="AF4" s="1170"/>
      <c r="AG4" s="1170"/>
      <c r="AH4" s="1170"/>
      <c r="AI4" s="1170"/>
      <c r="AJ4" s="1170"/>
    </row>
    <row r="5" spans="1:36" ht="13.5" thickBot="1">
      <c r="A5" s="570"/>
      <c r="B5" s="609" t="s">
        <v>146</v>
      </c>
      <c r="C5" s="610"/>
      <c r="D5" s="610"/>
      <c r="E5" s="610"/>
      <c r="F5" s="610"/>
      <c r="G5" s="610"/>
      <c r="H5" s="610"/>
      <c r="I5" s="610"/>
      <c r="J5" s="610"/>
      <c r="K5" s="610"/>
      <c r="L5" s="610"/>
      <c r="M5" s="610"/>
      <c r="N5" s="610"/>
      <c r="O5" s="610"/>
      <c r="P5" s="610"/>
      <c r="Q5" s="610"/>
      <c r="R5" s="610"/>
      <c r="S5" s="610"/>
      <c r="T5" s="610"/>
      <c r="U5" s="610"/>
      <c r="V5" s="610"/>
      <c r="W5" s="610"/>
      <c r="X5" s="610"/>
      <c r="Y5" s="610"/>
      <c r="Z5" s="611"/>
      <c r="AA5" s="611"/>
      <c r="AB5" s="611"/>
      <c r="AC5" s="610"/>
      <c r="AD5" s="610"/>
      <c r="AE5" s="610"/>
      <c r="AF5" s="610"/>
      <c r="AG5" s="610"/>
      <c r="AH5" s="610"/>
      <c r="AI5" s="610"/>
      <c r="AJ5" s="612"/>
    </row>
    <row r="6" spans="1:36" s="515" customFormat="1" ht="13.5" thickBot="1">
      <c r="A6" s="468"/>
      <c r="B6" s="804" t="s">
        <v>466</v>
      </c>
      <c r="C6" s="805" t="e">
        <f>SUM(D6:O6)</f>
        <v>#VALUE!</v>
      </c>
      <c r="D6" s="808">
        <v>0</v>
      </c>
      <c r="E6" s="809">
        <v>0</v>
      </c>
      <c r="F6" s="809">
        <v>0</v>
      </c>
      <c r="G6" s="809">
        <v>0</v>
      </c>
      <c r="H6" s="809">
        <v>0</v>
      </c>
      <c r="I6" s="809" t="e">
        <f>Interface!J10*Interface!I7</f>
        <v>#VALUE!</v>
      </c>
      <c r="J6" s="809" t="e">
        <f>I6</f>
        <v>#VALUE!</v>
      </c>
      <c r="K6" s="809" t="e">
        <f t="shared" ref="K6:O6" si="0">J6</f>
        <v>#VALUE!</v>
      </c>
      <c r="L6" s="809" t="e">
        <f t="shared" si="0"/>
        <v>#VALUE!</v>
      </c>
      <c r="M6" s="809" t="e">
        <f t="shared" si="0"/>
        <v>#VALUE!</v>
      </c>
      <c r="N6" s="809" t="e">
        <f t="shared" si="0"/>
        <v>#VALUE!</v>
      </c>
      <c r="O6" s="809" t="e">
        <f t="shared" si="0"/>
        <v>#VALUE!</v>
      </c>
      <c r="P6" s="805" t="e">
        <f>SUM(Q6:AB6)</f>
        <v>#VALUE!</v>
      </c>
      <c r="Q6" s="822" t="e">
        <f>O6*'Production Assumptions'!$C$6</f>
        <v>#VALUE!</v>
      </c>
      <c r="R6" s="823" t="e">
        <f>Q6</f>
        <v>#VALUE!</v>
      </c>
      <c r="S6" s="823" t="e">
        <f t="shared" ref="S6:AB6" si="1">R6</f>
        <v>#VALUE!</v>
      </c>
      <c r="T6" s="823" t="e">
        <f t="shared" si="1"/>
        <v>#VALUE!</v>
      </c>
      <c r="U6" s="823" t="e">
        <f t="shared" si="1"/>
        <v>#VALUE!</v>
      </c>
      <c r="V6" s="823" t="e">
        <f t="shared" si="1"/>
        <v>#VALUE!</v>
      </c>
      <c r="W6" s="823" t="e">
        <f t="shared" si="1"/>
        <v>#VALUE!</v>
      </c>
      <c r="X6" s="823" t="e">
        <f t="shared" si="1"/>
        <v>#VALUE!</v>
      </c>
      <c r="Y6" s="823" t="e">
        <f t="shared" si="1"/>
        <v>#VALUE!</v>
      </c>
      <c r="Z6" s="823" t="e">
        <f t="shared" si="1"/>
        <v>#VALUE!</v>
      </c>
      <c r="AA6" s="823" t="e">
        <f t="shared" si="1"/>
        <v>#VALUE!</v>
      </c>
      <c r="AB6" s="823" t="e">
        <f t="shared" si="1"/>
        <v>#VALUE!</v>
      </c>
      <c r="AC6" s="805" t="e">
        <f>IF(AND(Interface!$E$7=Validation!$H$68,Interface!$E$11=Validation!$H$74),(SUM(#REF!)*'Production Assumptions'!$C$6^AC$2),$P$6*'Production Assumptions'!$C$6)</f>
        <v>#VALUE!</v>
      </c>
      <c r="AD6" s="805" t="e">
        <f>($AC6)*('Production Assumptions'!$C$6)</f>
        <v>#VALUE!</v>
      </c>
      <c r="AE6" s="805" t="e">
        <f>($AC6)*('Production Assumptions'!$C$6)^AC$2</f>
        <v>#VALUE!</v>
      </c>
      <c r="AF6" s="805" t="e">
        <f>($AC6)*('Production Assumptions'!$C$6)^AD$2</f>
        <v>#VALUE!</v>
      </c>
      <c r="AG6" s="805" t="e">
        <f>($AC6)*('Production Assumptions'!$C$6)^AE$2</f>
        <v>#VALUE!</v>
      </c>
      <c r="AH6" s="805" t="e">
        <f>($AC6)*('Production Assumptions'!$C$6)^AF$2</f>
        <v>#VALUE!</v>
      </c>
      <c r="AI6" s="805" t="e">
        <f>($AC6)*('Production Assumptions'!$C$6)^AG$2</f>
        <v>#VALUE!</v>
      </c>
      <c r="AJ6" s="805" t="e">
        <f>($AC6)*('Production Assumptions'!$C$6)^AH$2</f>
        <v>#VALUE!</v>
      </c>
    </row>
    <row r="7" spans="1:36" ht="13.5" thickBot="1">
      <c r="A7" s="570"/>
      <c r="B7" s="561" t="s">
        <v>147</v>
      </c>
      <c r="C7" s="784" t="e">
        <f>SUM(D7:O7)</f>
        <v>#VALUE!</v>
      </c>
      <c r="D7" s="786">
        <f t="shared" ref="D7:AJ7" si="2">SUM(D6:D6)</f>
        <v>0</v>
      </c>
      <c r="E7" s="785">
        <f t="shared" si="2"/>
        <v>0</v>
      </c>
      <c r="F7" s="785">
        <f t="shared" si="2"/>
        <v>0</v>
      </c>
      <c r="G7" s="785">
        <f t="shared" si="2"/>
        <v>0</v>
      </c>
      <c r="H7" s="785">
        <f t="shared" si="2"/>
        <v>0</v>
      </c>
      <c r="I7" s="785" t="e">
        <f t="shared" si="2"/>
        <v>#VALUE!</v>
      </c>
      <c r="J7" s="785" t="e">
        <f t="shared" si="2"/>
        <v>#VALUE!</v>
      </c>
      <c r="K7" s="785" t="e">
        <f t="shared" si="2"/>
        <v>#VALUE!</v>
      </c>
      <c r="L7" s="785" t="e">
        <f t="shared" si="2"/>
        <v>#VALUE!</v>
      </c>
      <c r="M7" s="785" t="e">
        <f t="shared" si="2"/>
        <v>#VALUE!</v>
      </c>
      <c r="N7" s="785" t="e">
        <f t="shared" si="2"/>
        <v>#VALUE!</v>
      </c>
      <c r="O7" s="807" t="e">
        <f t="shared" si="2"/>
        <v>#VALUE!</v>
      </c>
      <c r="P7" s="784" t="e">
        <f t="shared" si="2"/>
        <v>#VALUE!</v>
      </c>
      <c r="Q7" s="786" t="e">
        <f t="shared" si="2"/>
        <v>#VALUE!</v>
      </c>
      <c r="R7" s="785" t="e">
        <f t="shared" si="2"/>
        <v>#VALUE!</v>
      </c>
      <c r="S7" s="785" t="e">
        <f t="shared" si="2"/>
        <v>#VALUE!</v>
      </c>
      <c r="T7" s="785" t="e">
        <f t="shared" si="2"/>
        <v>#VALUE!</v>
      </c>
      <c r="U7" s="785" t="e">
        <f t="shared" si="2"/>
        <v>#VALUE!</v>
      </c>
      <c r="V7" s="785" t="e">
        <f t="shared" si="2"/>
        <v>#VALUE!</v>
      </c>
      <c r="W7" s="785" t="e">
        <f t="shared" si="2"/>
        <v>#VALUE!</v>
      </c>
      <c r="X7" s="785" t="e">
        <f t="shared" si="2"/>
        <v>#VALUE!</v>
      </c>
      <c r="Y7" s="785" t="e">
        <f t="shared" si="2"/>
        <v>#VALUE!</v>
      </c>
      <c r="Z7" s="785" t="e">
        <f t="shared" si="2"/>
        <v>#VALUE!</v>
      </c>
      <c r="AA7" s="785" t="e">
        <f t="shared" si="2"/>
        <v>#VALUE!</v>
      </c>
      <c r="AB7" s="807" t="e">
        <f t="shared" si="2"/>
        <v>#VALUE!</v>
      </c>
      <c r="AC7" s="784" t="e">
        <f t="shared" si="2"/>
        <v>#VALUE!</v>
      </c>
      <c r="AD7" s="784" t="e">
        <f t="shared" si="2"/>
        <v>#VALUE!</v>
      </c>
      <c r="AE7" s="784" t="e">
        <f t="shared" si="2"/>
        <v>#VALUE!</v>
      </c>
      <c r="AF7" s="784" t="e">
        <f t="shared" si="2"/>
        <v>#VALUE!</v>
      </c>
      <c r="AG7" s="784" t="e">
        <f t="shared" si="2"/>
        <v>#VALUE!</v>
      </c>
      <c r="AH7" s="784" t="e">
        <f t="shared" si="2"/>
        <v>#VALUE!</v>
      </c>
      <c r="AI7" s="784" t="e">
        <f t="shared" si="2"/>
        <v>#VALUE!</v>
      </c>
      <c r="AJ7" s="784" t="e">
        <f t="shared" si="2"/>
        <v>#VALUE!</v>
      </c>
    </row>
    <row r="8" spans="1:36" ht="13.5" thickBot="1">
      <c r="A8" s="570"/>
      <c r="B8" s="570"/>
      <c r="C8" s="783"/>
      <c r="D8" s="783"/>
      <c r="E8" s="783"/>
      <c r="F8" s="783"/>
      <c r="G8" s="783"/>
      <c r="H8" s="783"/>
      <c r="I8" s="783"/>
      <c r="J8" s="783"/>
      <c r="K8" s="783"/>
      <c r="L8" s="783"/>
      <c r="M8" s="783"/>
      <c r="N8" s="783"/>
      <c r="O8" s="783"/>
      <c r="P8" s="783"/>
      <c r="Q8" s="783"/>
      <c r="R8" s="783"/>
      <c r="S8" s="783"/>
      <c r="T8" s="783"/>
      <c r="U8" s="783"/>
      <c r="V8" s="783"/>
      <c r="W8" s="783"/>
      <c r="X8" s="783"/>
      <c r="Y8" s="783"/>
      <c r="Z8" s="783"/>
      <c r="AA8" s="783"/>
      <c r="AB8" s="783"/>
      <c r="AC8" s="783"/>
      <c r="AD8" s="783"/>
      <c r="AE8" s="783"/>
      <c r="AF8" s="783"/>
      <c r="AG8" s="783"/>
      <c r="AH8" s="783"/>
      <c r="AI8" s="783"/>
      <c r="AJ8" s="783"/>
    </row>
    <row r="9" spans="1:36" ht="13.5" thickBot="1">
      <c r="A9" s="570"/>
      <c r="B9" s="619" t="s">
        <v>148</v>
      </c>
      <c r="C9" s="787"/>
      <c r="D9" s="787"/>
      <c r="E9" s="787"/>
      <c r="F9" s="787"/>
      <c r="G9" s="787"/>
      <c r="H9" s="787"/>
      <c r="I9" s="787"/>
      <c r="J9" s="787"/>
      <c r="K9" s="787"/>
      <c r="L9" s="787"/>
      <c r="M9" s="787"/>
      <c r="N9" s="787"/>
      <c r="O9" s="787"/>
      <c r="P9" s="787"/>
      <c r="Q9" s="787"/>
      <c r="R9" s="787"/>
      <c r="S9" s="787"/>
      <c r="T9" s="787"/>
      <c r="U9" s="787"/>
      <c r="V9" s="787"/>
      <c r="W9" s="787"/>
      <c r="X9" s="787"/>
      <c r="Y9" s="787"/>
      <c r="Z9" s="787"/>
      <c r="AA9" s="787"/>
      <c r="AB9" s="787"/>
      <c r="AC9" s="787"/>
      <c r="AD9" s="787"/>
      <c r="AE9" s="787"/>
      <c r="AF9" s="787"/>
      <c r="AG9" s="787"/>
      <c r="AH9" s="787"/>
      <c r="AI9" s="787"/>
      <c r="AJ9" s="802"/>
    </row>
    <row r="10" spans="1:36" s="515" customFormat="1">
      <c r="A10" s="468"/>
      <c r="B10" s="571" t="s">
        <v>407</v>
      </c>
      <c r="C10" s="583">
        <f>SUM(D10:O10)</f>
        <v>2250</v>
      </c>
      <c r="D10" s="602">
        <f>'Technical Information (POND)'!G20</f>
        <v>2250</v>
      </c>
      <c r="E10" s="603">
        <v>0</v>
      </c>
      <c r="F10" s="603">
        <v>0</v>
      </c>
      <c r="G10" s="603">
        <v>0</v>
      </c>
      <c r="H10" s="603">
        <v>0</v>
      </c>
      <c r="I10" s="603">
        <v>0</v>
      </c>
      <c r="J10" s="603">
        <v>0</v>
      </c>
      <c r="K10" s="603">
        <v>0</v>
      </c>
      <c r="L10" s="603">
        <v>0</v>
      </c>
      <c r="M10" s="603">
        <v>0</v>
      </c>
      <c r="N10" s="603">
        <v>0</v>
      </c>
      <c r="O10" s="603">
        <v>0</v>
      </c>
      <c r="P10" s="583">
        <f>SUM(Q10:AB10)</f>
        <v>0</v>
      </c>
      <c r="Q10" s="824">
        <f>IF(AND(Interface!$E$7=Validation!$H$68,Interface!$E$11=Validation!$H$77),0,$O$10*'Production Assumptions'!$C$6)</f>
        <v>0</v>
      </c>
      <c r="R10" s="825">
        <f>IF(OR(AND(Interface!$E$7=Validation!$H$68,Interface!$E$11=Validation!$H$73),AND(Interface!$E$7=Validation!$H$68,Interface!$E$11=Validation!$H$77)),0,$O$10*'Production Assumptions'!$C$6)</f>
        <v>0</v>
      </c>
      <c r="S10" s="825">
        <f>IF(OR(AND(Interface!$E$7=Validation!$H$68,Interface!$E$11=Validation!$H$73),AND(Interface!$E$7=Validation!$H$68,Interface!$E$11=Validation!$H$77)),0,$O$10*'Production Assumptions'!$C$6)</f>
        <v>0</v>
      </c>
      <c r="T10" s="825">
        <f>IF(OR(AND(Interface!$E$7=Validation!$H$68,Interface!$E$11=Validation!$H$73),AND(Interface!$E$7=Validation!$H$68,Interface!$E$11=Validation!$H$77)),0,$O$10*'Production Assumptions'!$C$6)</f>
        <v>0</v>
      </c>
      <c r="U10" s="825">
        <f>IF(OR(AND(Interface!$E$7=Validation!$H$68,Interface!$E$11=Validation!$H$73),AND(Interface!$E$7=Validation!$H$68,Interface!$E$11=Validation!$H$77)),0,$O$10*'Production Assumptions'!$C$6)</f>
        <v>0</v>
      </c>
      <c r="V10" s="825">
        <f>IF(OR(AND(Interface!$E$7=Validation!$H$68,Interface!$E$11=Validation!$H$73),AND(Interface!$E$7=Validation!$H$68,Interface!$E$11=Validation!$H$77)),0,$O$10*'Production Assumptions'!$C$6)</f>
        <v>0</v>
      </c>
      <c r="W10" s="825">
        <f>IF(OR(AND(Interface!$E$7=Validation!$H$68,Interface!$E$11=Validation!$H$73),AND(Interface!$E$7=Validation!$H$68,Interface!$E$11=Validation!$H$77)),0,$O$10*'Production Assumptions'!$C$6)</f>
        <v>0</v>
      </c>
      <c r="X10" s="825">
        <f>IF(OR(AND(Interface!$E$7=Validation!$H$68,Interface!$E$11=Validation!$H$73),AND(Interface!$E$7=Validation!$H$68,Interface!$E$11=Validation!$H$77)),0,$O$10*'Production Assumptions'!$C$6)</f>
        <v>0</v>
      </c>
      <c r="Y10" s="825">
        <f>IF(OR(AND(Interface!$E$7=Validation!$H$68,Interface!$E$11=Validation!$H$73),AND(Interface!$E$7=Validation!$H$68,Interface!$E$11=Validation!$H$77)),0,$O$10*'Production Assumptions'!$C$6)</f>
        <v>0</v>
      </c>
      <c r="Z10" s="825">
        <f>IF(OR(AND(Interface!$E$7=Validation!$H$68,Interface!$E$11=Validation!$H$73),AND(Interface!$E$7=Validation!$H$68,Interface!$E$11=Validation!$H$77)),0,$O$10*'Production Assumptions'!$C$6)</f>
        <v>0</v>
      </c>
      <c r="AA10" s="825">
        <f>IF(OR(AND(Interface!$E$7=Validation!$H$68,Interface!$E$11=Validation!$H$73),AND(Interface!$E$7=Validation!$H$68,Interface!$E$11=Validation!$H$77)),0,$O$10*'Production Assumptions'!$C$6)</f>
        <v>0</v>
      </c>
      <c r="AB10" s="826">
        <f>IF(OR(AND(Interface!$E$7=Validation!$H$68,Interface!$E$11=Validation!$H$73),AND(Interface!$E$7=Validation!$H$68,Interface!$E$11=Validation!$H$77)),0,$O$10*'Production Assumptions'!$C$6)</f>
        <v>0</v>
      </c>
      <c r="AC10" s="515">
        <v>0</v>
      </c>
      <c r="AD10" s="583">
        <f>C10*('Production Assumptions'!$C$6)*AD2</f>
        <v>7094.25</v>
      </c>
      <c r="AE10" s="583">
        <v>0</v>
      </c>
      <c r="AF10" s="515">
        <v>0</v>
      </c>
      <c r="AG10" s="583">
        <f>$AD$10*('Production Assumptions'!$C$6)^AG$2</f>
        <v>9561.4285722976983</v>
      </c>
      <c r="AH10" s="583">
        <v>0</v>
      </c>
      <c r="AI10" s="515">
        <v>0</v>
      </c>
      <c r="AJ10" s="583">
        <f>$AG$10*('Production Assumptions'!$C$6)^AJ$2</f>
        <v>14960.538609416404</v>
      </c>
    </row>
    <row r="11" spans="1:36" s="515" customFormat="1">
      <c r="A11" s="468"/>
      <c r="B11" s="559" t="s">
        <v>149</v>
      </c>
      <c r="C11" s="584" t="e">
        <f>SUM(D11:O11)</f>
        <v>#VALUE!</v>
      </c>
      <c r="D11" s="605" t="e">
        <f>'FEED and BIOMASS'!I19</f>
        <v>#VALUE!</v>
      </c>
      <c r="E11" s="601" t="e">
        <f>D11</f>
        <v>#VALUE!</v>
      </c>
      <c r="F11" s="601" t="e">
        <f t="shared" ref="F11:O11" si="3">E11</f>
        <v>#VALUE!</v>
      </c>
      <c r="G11" s="601" t="e">
        <f t="shared" si="3"/>
        <v>#VALUE!</v>
      </c>
      <c r="H11" s="601" t="e">
        <f t="shared" si="3"/>
        <v>#VALUE!</v>
      </c>
      <c r="I11" s="601" t="e">
        <f t="shared" si="3"/>
        <v>#VALUE!</v>
      </c>
      <c r="J11" s="601" t="e">
        <f t="shared" si="3"/>
        <v>#VALUE!</v>
      </c>
      <c r="K11" s="601" t="e">
        <f t="shared" si="3"/>
        <v>#VALUE!</v>
      </c>
      <c r="L11" s="601" t="e">
        <f t="shared" si="3"/>
        <v>#VALUE!</v>
      </c>
      <c r="M11" s="601" t="e">
        <f t="shared" si="3"/>
        <v>#VALUE!</v>
      </c>
      <c r="N11" s="601" t="e">
        <f t="shared" si="3"/>
        <v>#VALUE!</v>
      </c>
      <c r="O11" s="601" t="e">
        <f t="shared" si="3"/>
        <v>#VALUE!</v>
      </c>
      <c r="P11" s="584" t="e">
        <f>SUM(Q11:AB11)</f>
        <v>#VALUE!</v>
      </c>
      <c r="Q11" s="829" t="e">
        <f>O11*'Production Assumptions'!$C$6</f>
        <v>#VALUE!</v>
      </c>
      <c r="R11" s="830" t="e">
        <f>Q11</f>
        <v>#VALUE!</v>
      </c>
      <c r="S11" s="830" t="e">
        <f t="shared" ref="S11:AB11" si="4">R11</f>
        <v>#VALUE!</v>
      </c>
      <c r="T11" s="830" t="e">
        <f t="shared" si="4"/>
        <v>#VALUE!</v>
      </c>
      <c r="U11" s="830" t="e">
        <f t="shared" si="4"/>
        <v>#VALUE!</v>
      </c>
      <c r="V11" s="830" t="e">
        <f t="shared" si="4"/>
        <v>#VALUE!</v>
      </c>
      <c r="W11" s="830" t="e">
        <f t="shared" si="4"/>
        <v>#VALUE!</v>
      </c>
      <c r="X11" s="830" t="e">
        <f t="shared" si="4"/>
        <v>#VALUE!</v>
      </c>
      <c r="Y11" s="830" t="e">
        <f t="shared" si="4"/>
        <v>#VALUE!</v>
      </c>
      <c r="Z11" s="830" t="e">
        <f t="shared" si="4"/>
        <v>#VALUE!</v>
      </c>
      <c r="AA11" s="830" t="e">
        <f t="shared" si="4"/>
        <v>#VALUE!</v>
      </c>
      <c r="AB11" s="830" t="e">
        <f t="shared" si="4"/>
        <v>#VALUE!</v>
      </c>
      <c r="AC11" s="584" t="e">
        <f>($P$11*('Production Assumptions'!$C$6))</f>
        <v>#VALUE!</v>
      </c>
      <c r="AD11" s="584" t="e">
        <f>($P$11*('Production Assumptions'!$C$6)^AC$2)</f>
        <v>#VALUE!</v>
      </c>
      <c r="AE11" s="584" t="e">
        <f>($P$11*('Production Assumptions'!$C$6)^AD$2)</f>
        <v>#VALUE!</v>
      </c>
      <c r="AF11" s="584" t="e">
        <f>($P$11*('Production Assumptions'!$C$6)^AE$2)</f>
        <v>#VALUE!</v>
      </c>
      <c r="AG11" s="584" t="e">
        <f>($P$11*('Production Assumptions'!$C$6)^AF$2)</f>
        <v>#VALUE!</v>
      </c>
      <c r="AH11" s="584" t="e">
        <f>($P$11*('Production Assumptions'!$C$6)^AG$2)</f>
        <v>#VALUE!</v>
      </c>
      <c r="AI11" s="584" t="e">
        <f>($P$11*('Production Assumptions'!$C$6)^AH$2)</f>
        <v>#VALUE!</v>
      </c>
      <c r="AJ11" s="584" t="e">
        <f>($P$11*('Production Assumptions'!$C$6)^AI$2)</f>
        <v>#VALUE!</v>
      </c>
    </row>
    <row r="12" spans="1:36" s="515" customFormat="1">
      <c r="A12" s="468"/>
      <c r="B12" s="559" t="s">
        <v>480</v>
      </c>
      <c r="C12" s="789" t="e">
        <f>SUM(D12:O12)</f>
        <v>#VALUE!</v>
      </c>
      <c r="D12" s="605">
        <v>0</v>
      </c>
      <c r="E12" s="601">
        <v>0</v>
      </c>
      <c r="F12" s="601">
        <v>0</v>
      </c>
      <c r="G12" s="601">
        <v>0</v>
      </c>
      <c r="H12" s="601" t="e">
        <f>IF(AND(Interface!$H$7="International Markets",Interface!$E$19=Validation!$D$42),'Production Assumptions'!$C$76,IF(AND(Interface!$H$7=Validation!$H$3,Interface!$E$19=Validation!$D$42),'Production Assumptions'!$C$62,G12))</f>
        <v>#VALUE!</v>
      </c>
      <c r="I12" s="601" t="e">
        <f>IF(AND(Interface!$H$7="International Markets",Interface!$E$19=Validation!$D$43),'Production Assumptions'!$C$76,IF(AND(Interface!$H$7=Validation!$H$3,Interface!$E$19=Validation!$D$43),'Production Assumptions'!$C$62,H12))</f>
        <v>#VALUE!</v>
      </c>
      <c r="J12" s="601" t="e">
        <f>IF(AND(Interface!$H$7="International Markets",Interface!$E$19=Validation!$D$44),'Production Assumptions'!$C$76,IF(AND(Interface!$H$7=Validation!$H$3,Interface!$E$19=Validation!$D$44),'Production Assumptions'!$C$62,I12))</f>
        <v>#VALUE!</v>
      </c>
      <c r="K12" s="601" t="e">
        <f>IF(AND(Interface!$H$7="International Markets",Interface!$E$19=Validation!$D$45),'Production Assumptions'!$C$76,IF(AND(Interface!$H$7=Validation!$H$3,Interface!$E$19=Validation!$D$45),'Production Assumptions'!$C$62,J12))</f>
        <v>#VALUE!</v>
      </c>
      <c r="L12" s="601" t="e">
        <f>IF(AND(Interface!$H$7="International Markets",Interface!$E$19=Validation!D46),'Production Assumptions'!$C$76,IF(AND(Interface!$H$7=Validation!$H$3,Interface!$E$19=Validation!D46),'Production Assumptions'!$C$62,K12))</f>
        <v>#VALUE!</v>
      </c>
      <c r="M12" s="601" t="e">
        <f>IF(AND(Interface!$H$7="International Markets",Interface!$E$19=Validation!$D$47),'Production Assumptions'!$C$76,IF(AND(Interface!$H$7=Validation!$H$3,Interface!$E$19=Validation!$D$47),'Production Assumptions'!$C$62,L12))</f>
        <v>#VALUE!</v>
      </c>
      <c r="N12" s="601" t="e">
        <f>IF(AND(Interface!$H$7="International Markets",Interface!$E$19=Validation!$D$48),'Production Assumptions'!$C$76,IF(AND(Interface!$H$7=Validation!$H$3,Interface!$E$19=Validation!$D$48),'Production Assumptions'!$C$62,M12))</f>
        <v>#VALUE!</v>
      </c>
      <c r="O12" s="606" t="e">
        <f>IF(AND(Interface!$H$7="International Markets",Interface!$E$19=Validation!$D$49),'Production Assumptions'!$C$76,IF(AND(Interface!$H$7=Validation!$H$3,Interface!$E$19=Validation!$D$49),'Production Assumptions'!$C$62,N12))</f>
        <v>#VALUE!</v>
      </c>
      <c r="P12" s="789" t="e">
        <f>SUM(Q12:AB12)</f>
        <v>#VALUE!</v>
      </c>
      <c r="Q12" s="831" t="e">
        <f>IF(AND(Interface!$H$7="International Markets",Interface!$E$19=Validation!$D$50),'Production Assumptions'!$C$76,IF(AND(Interface!$H$7=Validation!$H$3,Interface!$E$19=Validation!$D$50),'Production Assumptions'!$C$62,O12))*'Production Assumptions'!$C$6^$P$2</f>
        <v>#VALUE!</v>
      </c>
      <c r="R12" s="832" t="e">
        <f>Q12</f>
        <v>#VALUE!</v>
      </c>
      <c r="S12" s="832" t="e">
        <f t="shared" ref="S12:AB12" si="5">R12</f>
        <v>#VALUE!</v>
      </c>
      <c r="T12" s="832" t="e">
        <f t="shared" si="5"/>
        <v>#VALUE!</v>
      </c>
      <c r="U12" s="832" t="e">
        <f t="shared" si="5"/>
        <v>#VALUE!</v>
      </c>
      <c r="V12" s="832" t="e">
        <f t="shared" si="5"/>
        <v>#VALUE!</v>
      </c>
      <c r="W12" s="832" t="e">
        <f t="shared" si="5"/>
        <v>#VALUE!</v>
      </c>
      <c r="X12" s="832" t="e">
        <f t="shared" si="5"/>
        <v>#VALUE!</v>
      </c>
      <c r="Y12" s="832" t="e">
        <f t="shared" si="5"/>
        <v>#VALUE!</v>
      </c>
      <c r="Z12" s="832" t="e">
        <f t="shared" si="5"/>
        <v>#VALUE!</v>
      </c>
      <c r="AA12" s="832" t="e">
        <f t="shared" si="5"/>
        <v>#VALUE!</v>
      </c>
      <c r="AB12" s="833" t="e">
        <f t="shared" si="5"/>
        <v>#VALUE!</v>
      </c>
      <c r="AC12" s="788" t="e">
        <f>($AB$12*12)*('Production Assumptions'!$C$6)</f>
        <v>#VALUE!</v>
      </c>
      <c r="AD12" s="788" t="e">
        <f>($AB$12*12)*('Production Assumptions'!$C$6)^AC2</f>
        <v>#VALUE!</v>
      </c>
      <c r="AE12" s="788" t="e">
        <f>($AB$12*12)*('Production Assumptions'!$C$6)^AD2</f>
        <v>#VALUE!</v>
      </c>
      <c r="AF12" s="788" t="e">
        <f>($AB$12*12)*('Production Assumptions'!$C$6)^AE2</f>
        <v>#VALUE!</v>
      </c>
      <c r="AG12" s="788" t="e">
        <f>($AB$12*12)*('Production Assumptions'!$C$6)^AF2</f>
        <v>#VALUE!</v>
      </c>
      <c r="AH12" s="788" t="e">
        <f>($AB$12*12)*('Production Assumptions'!$C$6)^AG2</f>
        <v>#VALUE!</v>
      </c>
      <c r="AI12" s="788" t="e">
        <f>($AB$12*12)*('Production Assumptions'!$C$6)^AH2</f>
        <v>#VALUE!</v>
      </c>
      <c r="AJ12" s="788" t="e">
        <f>($AB$12*12)*('Production Assumptions'!$C$6)^AI2</f>
        <v>#VALUE!</v>
      </c>
    </row>
    <row r="13" spans="1:36" s="515" customFormat="1">
      <c r="A13" s="468"/>
      <c r="B13" s="559" t="s">
        <v>478</v>
      </c>
      <c r="C13" s="584" t="e">
        <f t="shared" ref="C13:C15" si="6">SUM(D13:O13)</f>
        <v>#VALUE!</v>
      </c>
      <c r="D13" s="605" t="e">
        <f>'Production Assumptions'!G13</f>
        <v>#VALUE!</v>
      </c>
      <c r="E13" s="601" t="e">
        <f>D13</f>
        <v>#VALUE!</v>
      </c>
      <c r="F13" s="601" t="e">
        <f t="shared" ref="F13:O15" si="7">E13</f>
        <v>#VALUE!</v>
      </c>
      <c r="G13" s="601" t="e">
        <f t="shared" si="7"/>
        <v>#VALUE!</v>
      </c>
      <c r="H13" s="601" t="e">
        <f t="shared" si="7"/>
        <v>#VALUE!</v>
      </c>
      <c r="I13" s="601" t="e">
        <f t="shared" si="7"/>
        <v>#VALUE!</v>
      </c>
      <c r="J13" s="601" t="e">
        <f t="shared" si="7"/>
        <v>#VALUE!</v>
      </c>
      <c r="K13" s="601" t="e">
        <f t="shared" si="7"/>
        <v>#VALUE!</v>
      </c>
      <c r="L13" s="601" t="e">
        <f t="shared" si="7"/>
        <v>#VALUE!</v>
      </c>
      <c r="M13" s="601" t="e">
        <f t="shared" si="7"/>
        <v>#VALUE!</v>
      </c>
      <c r="N13" s="601" t="e">
        <f t="shared" si="7"/>
        <v>#VALUE!</v>
      </c>
      <c r="O13" s="601" t="e">
        <f t="shared" si="7"/>
        <v>#VALUE!</v>
      </c>
      <c r="P13" s="584" t="e">
        <f t="shared" ref="P13:P15" si="8">SUM(Q13:AB13)</f>
        <v>#VALUE!</v>
      </c>
      <c r="Q13" s="829" t="e">
        <f>$O$13*('Production Assumptions'!$C$6)</f>
        <v>#VALUE!</v>
      </c>
      <c r="R13" s="832" t="e">
        <f>Q13</f>
        <v>#VALUE!</v>
      </c>
      <c r="S13" s="832" t="e">
        <f t="shared" ref="S13:AB13" si="9">R13</f>
        <v>#VALUE!</v>
      </c>
      <c r="T13" s="832" t="e">
        <f t="shared" si="9"/>
        <v>#VALUE!</v>
      </c>
      <c r="U13" s="832" t="e">
        <f t="shared" si="9"/>
        <v>#VALUE!</v>
      </c>
      <c r="V13" s="832" t="e">
        <f t="shared" si="9"/>
        <v>#VALUE!</v>
      </c>
      <c r="W13" s="832" t="e">
        <f t="shared" si="9"/>
        <v>#VALUE!</v>
      </c>
      <c r="X13" s="832" t="e">
        <f t="shared" si="9"/>
        <v>#VALUE!</v>
      </c>
      <c r="Y13" s="832" t="e">
        <f t="shared" si="9"/>
        <v>#VALUE!</v>
      </c>
      <c r="Z13" s="832" t="e">
        <f t="shared" si="9"/>
        <v>#VALUE!</v>
      </c>
      <c r="AA13" s="832" t="e">
        <f t="shared" si="9"/>
        <v>#VALUE!</v>
      </c>
      <c r="AB13" s="832" t="e">
        <f t="shared" si="9"/>
        <v>#VALUE!</v>
      </c>
      <c r="AC13" s="584" t="e">
        <f>($AB$13*('Production Assumptions'!$C$6)^AB3)*12</f>
        <v>#VALUE!</v>
      </c>
      <c r="AD13" s="584" t="e">
        <f>($AB$13*('Production Assumptions'!$C$6)^AC2)*12</f>
        <v>#VALUE!</v>
      </c>
      <c r="AE13" s="584" t="e">
        <f>($AB$13*('Production Assumptions'!$C$6)^AD2)*12</f>
        <v>#VALUE!</v>
      </c>
      <c r="AF13" s="584" t="e">
        <f>($AB$13*('Production Assumptions'!$C$6)^AE2)*12</f>
        <v>#VALUE!</v>
      </c>
      <c r="AG13" s="584" t="e">
        <f>($AB$13*('Production Assumptions'!$C$6)^AF2)*12</f>
        <v>#VALUE!</v>
      </c>
      <c r="AH13" s="584" t="e">
        <f>($AB$13*('Production Assumptions'!$C$6)^AG2)*12</f>
        <v>#VALUE!</v>
      </c>
      <c r="AI13" s="584" t="e">
        <f>($AB$13*('Production Assumptions'!$C$6)^AH2)*12</f>
        <v>#VALUE!</v>
      </c>
      <c r="AJ13" s="584" t="e">
        <f>($AB$13*('Production Assumptions'!$C$6)^AI2)*12</f>
        <v>#VALUE!</v>
      </c>
    </row>
    <row r="14" spans="1:36" s="515" customFormat="1">
      <c r="A14" s="468"/>
      <c r="B14" s="559" t="s">
        <v>477</v>
      </c>
      <c r="C14" s="584" t="e">
        <f t="shared" si="6"/>
        <v>#VALUE!</v>
      </c>
      <c r="D14" s="605" t="e">
        <f>'Production Assumptions'!G12</f>
        <v>#VALUE!</v>
      </c>
      <c r="E14" s="601" t="e">
        <f>D14</f>
        <v>#VALUE!</v>
      </c>
      <c r="F14" s="601" t="e">
        <f t="shared" si="7"/>
        <v>#VALUE!</v>
      </c>
      <c r="G14" s="601" t="e">
        <f t="shared" si="7"/>
        <v>#VALUE!</v>
      </c>
      <c r="H14" s="601" t="e">
        <f t="shared" si="7"/>
        <v>#VALUE!</v>
      </c>
      <c r="I14" s="601" t="e">
        <f t="shared" si="7"/>
        <v>#VALUE!</v>
      </c>
      <c r="J14" s="601" t="e">
        <f t="shared" si="7"/>
        <v>#VALUE!</v>
      </c>
      <c r="K14" s="601" t="e">
        <f t="shared" si="7"/>
        <v>#VALUE!</v>
      </c>
      <c r="L14" s="601" t="e">
        <f t="shared" si="7"/>
        <v>#VALUE!</v>
      </c>
      <c r="M14" s="601" t="e">
        <f t="shared" si="7"/>
        <v>#VALUE!</v>
      </c>
      <c r="N14" s="601" t="e">
        <f t="shared" si="7"/>
        <v>#VALUE!</v>
      </c>
      <c r="O14" s="601" t="e">
        <f t="shared" si="7"/>
        <v>#VALUE!</v>
      </c>
      <c r="P14" s="584" t="e">
        <f t="shared" si="8"/>
        <v>#VALUE!</v>
      </c>
      <c r="Q14" s="829" t="e">
        <f>$O$14*('Production Assumptions'!$C$6)</f>
        <v>#VALUE!</v>
      </c>
      <c r="R14" s="832" t="e">
        <f>Q14</f>
        <v>#VALUE!</v>
      </c>
      <c r="S14" s="832" t="e">
        <f t="shared" ref="S14:AB14" si="10">R14</f>
        <v>#VALUE!</v>
      </c>
      <c r="T14" s="832" t="e">
        <f t="shared" si="10"/>
        <v>#VALUE!</v>
      </c>
      <c r="U14" s="832" t="e">
        <f t="shared" si="10"/>
        <v>#VALUE!</v>
      </c>
      <c r="V14" s="832" t="e">
        <f t="shared" si="10"/>
        <v>#VALUE!</v>
      </c>
      <c r="W14" s="832" t="e">
        <f t="shared" si="10"/>
        <v>#VALUE!</v>
      </c>
      <c r="X14" s="832" t="e">
        <f t="shared" si="10"/>
        <v>#VALUE!</v>
      </c>
      <c r="Y14" s="832" t="e">
        <f t="shared" si="10"/>
        <v>#VALUE!</v>
      </c>
      <c r="Z14" s="832" t="e">
        <f t="shared" si="10"/>
        <v>#VALUE!</v>
      </c>
      <c r="AA14" s="832" t="e">
        <f t="shared" si="10"/>
        <v>#VALUE!</v>
      </c>
      <c r="AB14" s="832" t="e">
        <f t="shared" si="10"/>
        <v>#VALUE!</v>
      </c>
      <c r="AC14" s="584" t="e">
        <f>($AB$14*('Production Assumptions'!$C$6)^AB2)*12</f>
        <v>#VALUE!</v>
      </c>
      <c r="AD14" s="584" t="e">
        <f>($AB$14*('Production Assumptions'!$C$6)^AC2)*12</f>
        <v>#VALUE!</v>
      </c>
      <c r="AE14" s="584" t="e">
        <f>($AB$14*('Production Assumptions'!$C$6)^AD2)*12</f>
        <v>#VALUE!</v>
      </c>
      <c r="AF14" s="584" t="e">
        <f>($AB$14*('Production Assumptions'!$C$6)^AE2)*12</f>
        <v>#VALUE!</v>
      </c>
      <c r="AG14" s="584" t="e">
        <f>($AB$14*('Production Assumptions'!$C$6)^AF2)*12</f>
        <v>#VALUE!</v>
      </c>
      <c r="AH14" s="584" t="e">
        <f>($AB$14*('Production Assumptions'!$C$6)^AG2)*12</f>
        <v>#VALUE!</v>
      </c>
      <c r="AI14" s="584" t="e">
        <f>($AB$14*('Production Assumptions'!$C$6)^AH2)*12</f>
        <v>#VALUE!</v>
      </c>
      <c r="AJ14" s="584" t="e">
        <f>($AB$14*('Production Assumptions'!$C$6)^AI2)*12</f>
        <v>#VALUE!</v>
      </c>
    </row>
    <row r="15" spans="1:36" s="515" customFormat="1" ht="13.5" thickBot="1">
      <c r="A15" s="468"/>
      <c r="B15" s="559" t="s">
        <v>479</v>
      </c>
      <c r="C15" s="584" t="e">
        <f t="shared" si="6"/>
        <v>#VALUE!</v>
      </c>
      <c r="D15" s="605">
        <v>0</v>
      </c>
      <c r="E15" s="601">
        <v>0</v>
      </c>
      <c r="F15" s="601">
        <v>0</v>
      </c>
      <c r="G15" s="601">
        <v>0</v>
      </c>
      <c r="H15" s="601">
        <v>0</v>
      </c>
      <c r="I15" s="601" t="e">
        <f>'Production Assumptions'!G10</f>
        <v>#VALUE!</v>
      </c>
      <c r="J15" s="601" t="e">
        <f>I15</f>
        <v>#VALUE!</v>
      </c>
      <c r="K15" s="601" t="e">
        <f t="shared" si="7"/>
        <v>#VALUE!</v>
      </c>
      <c r="L15" s="601" t="e">
        <f t="shared" si="7"/>
        <v>#VALUE!</v>
      </c>
      <c r="M15" s="601" t="e">
        <f t="shared" si="7"/>
        <v>#VALUE!</v>
      </c>
      <c r="N15" s="601" t="e">
        <f t="shared" si="7"/>
        <v>#VALUE!</v>
      </c>
      <c r="O15" s="601" t="e">
        <f t="shared" si="7"/>
        <v>#VALUE!</v>
      </c>
      <c r="P15" s="584" t="e">
        <f t="shared" si="8"/>
        <v>#VALUE!</v>
      </c>
      <c r="Q15" s="829" t="e">
        <f>$O$15*('Production Assumptions'!$C$6)</f>
        <v>#VALUE!</v>
      </c>
      <c r="R15" s="830" t="e">
        <f>Q15</f>
        <v>#VALUE!</v>
      </c>
      <c r="S15" s="830" t="e">
        <f t="shared" ref="S15:AB15" si="11">R15</f>
        <v>#VALUE!</v>
      </c>
      <c r="T15" s="830" t="e">
        <f t="shared" si="11"/>
        <v>#VALUE!</v>
      </c>
      <c r="U15" s="830" t="e">
        <f t="shared" si="11"/>
        <v>#VALUE!</v>
      </c>
      <c r="V15" s="830" t="e">
        <f t="shared" si="11"/>
        <v>#VALUE!</v>
      </c>
      <c r="W15" s="830" t="e">
        <f t="shared" si="11"/>
        <v>#VALUE!</v>
      </c>
      <c r="X15" s="830" t="e">
        <f t="shared" si="11"/>
        <v>#VALUE!</v>
      </c>
      <c r="Y15" s="830" t="e">
        <f t="shared" si="11"/>
        <v>#VALUE!</v>
      </c>
      <c r="Z15" s="830" t="e">
        <f t="shared" si="11"/>
        <v>#VALUE!</v>
      </c>
      <c r="AA15" s="830" t="e">
        <f t="shared" si="11"/>
        <v>#VALUE!</v>
      </c>
      <c r="AB15" s="830" t="e">
        <f t="shared" si="11"/>
        <v>#VALUE!</v>
      </c>
      <c r="AC15" s="584" t="e">
        <f>($AB$15*('Production Assumptions'!$C$6)^AB2)*12</f>
        <v>#VALUE!</v>
      </c>
      <c r="AD15" s="584" t="e">
        <f>($AB$15*('Production Assumptions'!$C$6)^AC2)*12</f>
        <v>#VALUE!</v>
      </c>
      <c r="AE15" s="584" t="e">
        <f>($AB$15*('Production Assumptions'!$C$6)^AD2)*12</f>
        <v>#VALUE!</v>
      </c>
      <c r="AF15" s="584" t="e">
        <f>($AB$15*('Production Assumptions'!$C$6)^AE2)*12</f>
        <v>#VALUE!</v>
      </c>
      <c r="AG15" s="584" t="e">
        <f>($AB$15*('Production Assumptions'!$C$6)^AF2)*12</f>
        <v>#VALUE!</v>
      </c>
      <c r="AH15" s="584" t="e">
        <f>($AB$15*('Production Assumptions'!$C$6)^AG2)*12</f>
        <v>#VALUE!</v>
      </c>
      <c r="AI15" s="584" t="e">
        <f>($AB$15*('Production Assumptions'!$C$6)^AH2)*12</f>
        <v>#VALUE!</v>
      </c>
      <c r="AJ15" s="584" t="e">
        <f>($AB$15*('Production Assumptions'!$C$6)^AI2)*12</f>
        <v>#VALUE!</v>
      </c>
    </row>
    <row r="16" spans="1:36" s="515" customFormat="1" ht="13.5" thickBot="1">
      <c r="A16" s="468"/>
      <c r="B16" s="561" t="s">
        <v>150</v>
      </c>
      <c r="C16" s="784" t="e">
        <f>SUM(C10:C15)</f>
        <v>#VALUE!</v>
      </c>
      <c r="D16" s="786" t="e">
        <f>SUM(D10:D15)</f>
        <v>#VALUE!</v>
      </c>
      <c r="E16" s="786" t="e">
        <f t="shared" ref="E16:AI16" si="12">SUM(E10:E15)</f>
        <v>#VALUE!</v>
      </c>
      <c r="F16" s="786" t="e">
        <f t="shared" si="12"/>
        <v>#VALUE!</v>
      </c>
      <c r="G16" s="786" t="e">
        <f t="shared" si="12"/>
        <v>#VALUE!</v>
      </c>
      <c r="H16" s="786" t="e">
        <f t="shared" si="12"/>
        <v>#VALUE!</v>
      </c>
      <c r="I16" s="786" t="e">
        <f t="shared" si="12"/>
        <v>#VALUE!</v>
      </c>
      <c r="J16" s="786" t="e">
        <f t="shared" si="12"/>
        <v>#VALUE!</v>
      </c>
      <c r="K16" s="786" t="e">
        <f t="shared" si="12"/>
        <v>#VALUE!</v>
      </c>
      <c r="L16" s="786" t="e">
        <f t="shared" si="12"/>
        <v>#VALUE!</v>
      </c>
      <c r="M16" s="786" t="e">
        <f t="shared" si="12"/>
        <v>#VALUE!</v>
      </c>
      <c r="N16" s="786" t="e">
        <f t="shared" si="12"/>
        <v>#VALUE!</v>
      </c>
      <c r="O16" s="786" t="e">
        <f t="shared" si="12"/>
        <v>#VALUE!</v>
      </c>
      <c r="P16" s="786" t="e">
        <f t="shared" si="12"/>
        <v>#VALUE!</v>
      </c>
      <c r="Q16" s="786" t="e">
        <f t="shared" si="12"/>
        <v>#VALUE!</v>
      </c>
      <c r="R16" s="786" t="e">
        <f t="shared" si="12"/>
        <v>#VALUE!</v>
      </c>
      <c r="S16" s="786" t="e">
        <f t="shared" si="12"/>
        <v>#VALUE!</v>
      </c>
      <c r="T16" s="786" t="e">
        <f t="shared" si="12"/>
        <v>#VALUE!</v>
      </c>
      <c r="U16" s="786" t="e">
        <f t="shared" si="12"/>
        <v>#VALUE!</v>
      </c>
      <c r="V16" s="786" t="e">
        <f t="shared" si="12"/>
        <v>#VALUE!</v>
      </c>
      <c r="W16" s="786" t="e">
        <f t="shared" si="12"/>
        <v>#VALUE!</v>
      </c>
      <c r="X16" s="786" t="e">
        <f t="shared" si="12"/>
        <v>#VALUE!</v>
      </c>
      <c r="Y16" s="786" t="e">
        <f t="shared" si="12"/>
        <v>#VALUE!</v>
      </c>
      <c r="Z16" s="786" t="e">
        <f t="shared" si="12"/>
        <v>#VALUE!</v>
      </c>
      <c r="AA16" s="786" t="e">
        <f t="shared" si="12"/>
        <v>#VALUE!</v>
      </c>
      <c r="AB16" s="786" t="e">
        <f t="shared" si="12"/>
        <v>#VALUE!</v>
      </c>
      <c r="AC16" s="786" t="e">
        <f t="shared" si="12"/>
        <v>#VALUE!</v>
      </c>
      <c r="AD16" s="786" t="e">
        <f>SUM(AD10:AD15)</f>
        <v>#VALUE!</v>
      </c>
      <c r="AE16" s="786" t="e">
        <f t="shared" si="12"/>
        <v>#VALUE!</v>
      </c>
      <c r="AF16" s="786" t="e">
        <f t="shared" si="12"/>
        <v>#VALUE!</v>
      </c>
      <c r="AG16" s="786" t="e">
        <f>SUM(AG10:AG15)</f>
        <v>#VALUE!</v>
      </c>
      <c r="AH16" s="786" t="e">
        <f t="shared" si="12"/>
        <v>#VALUE!</v>
      </c>
      <c r="AI16" s="786" t="e">
        <f t="shared" si="12"/>
        <v>#VALUE!</v>
      </c>
      <c r="AJ16" s="786" t="e">
        <f>SUM(AJ10:AJ15)</f>
        <v>#VALUE!</v>
      </c>
    </row>
    <row r="17" spans="1:36" ht="13.5" thickBot="1">
      <c r="A17" s="570"/>
      <c r="B17" s="570"/>
      <c r="C17" s="783"/>
      <c r="D17" s="783"/>
      <c r="E17" s="783"/>
      <c r="F17" s="783"/>
      <c r="G17" s="783"/>
      <c r="H17" s="783"/>
      <c r="I17" s="783"/>
      <c r="J17" s="783"/>
      <c r="K17" s="783"/>
      <c r="L17" s="783"/>
      <c r="M17" s="783"/>
      <c r="N17" s="783"/>
      <c r="O17" s="783"/>
      <c r="P17" s="783"/>
      <c r="Q17" s="783"/>
      <c r="R17" s="783"/>
      <c r="S17" s="783"/>
      <c r="T17" s="783"/>
      <c r="U17" s="783"/>
      <c r="V17" s="783"/>
      <c r="W17" s="783"/>
      <c r="X17" s="783"/>
      <c r="Y17" s="783"/>
      <c r="Z17" s="783"/>
      <c r="AA17" s="783"/>
      <c r="AB17" s="783"/>
      <c r="AC17" s="783"/>
      <c r="AD17" s="783"/>
      <c r="AE17" s="783"/>
      <c r="AF17" s="783"/>
      <c r="AG17" s="783"/>
      <c r="AH17" s="783"/>
      <c r="AI17" s="783"/>
      <c r="AJ17" s="783"/>
    </row>
    <row r="18" spans="1:36" ht="13.5" thickBot="1">
      <c r="A18" s="570"/>
      <c r="B18" s="607" t="s">
        <v>151</v>
      </c>
      <c r="C18" s="790"/>
      <c r="D18" s="790"/>
      <c r="E18" s="790"/>
      <c r="F18" s="790"/>
      <c r="G18" s="790"/>
      <c r="H18" s="790"/>
      <c r="I18" s="790"/>
      <c r="J18" s="790"/>
      <c r="K18" s="790"/>
      <c r="L18" s="790"/>
      <c r="M18" s="790"/>
      <c r="N18" s="790"/>
      <c r="O18" s="790"/>
      <c r="P18" s="790"/>
      <c r="Q18" s="790"/>
      <c r="R18" s="790"/>
      <c r="S18" s="790"/>
      <c r="T18" s="790"/>
      <c r="U18" s="790"/>
      <c r="V18" s="790"/>
      <c r="W18" s="790"/>
      <c r="X18" s="790"/>
      <c r="Y18" s="790"/>
      <c r="Z18" s="790"/>
      <c r="AA18" s="790"/>
      <c r="AB18" s="790"/>
      <c r="AC18" s="790"/>
      <c r="AD18" s="790"/>
      <c r="AE18" s="790"/>
      <c r="AF18" s="790"/>
      <c r="AG18" s="790"/>
      <c r="AH18" s="790"/>
      <c r="AI18" s="790"/>
      <c r="AJ18" s="803"/>
    </row>
    <row r="19" spans="1:36" s="515" customFormat="1">
      <c r="A19" s="468"/>
      <c r="B19" s="571" t="s">
        <v>152</v>
      </c>
      <c r="C19" s="806" t="e">
        <f t="shared" ref="C19:C29" si="13">SUM(D19:O19)</f>
        <v>#VALUE!</v>
      </c>
      <c r="D19" s="810" t="e">
        <f>HR!E26</f>
        <v>#VALUE!</v>
      </c>
      <c r="E19" s="811" t="e">
        <f>HR!F26</f>
        <v>#VALUE!</v>
      </c>
      <c r="F19" s="811" t="e">
        <f>HR!G26</f>
        <v>#VALUE!</v>
      </c>
      <c r="G19" s="811" t="e">
        <f>HR!H26</f>
        <v>#VALUE!</v>
      </c>
      <c r="H19" s="811" t="e">
        <f>HR!I26</f>
        <v>#VALUE!</v>
      </c>
      <c r="I19" s="811" t="e">
        <f>HR!J26</f>
        <v>#VALUE!</v>
      </c>
      <c r="J19" s="811" t="e">
        <f>HR!K26</f>
        <v>#VALUE!</v>
      </c>
      <c r="K19" s="811" t="e">
        <f>HR!L26</f>
        <v>#VALUE!</v>
      </c>
      <c r="L19" s="811" t="e">
        <f>HR!M26</f>
        <v>#VALUE!</v>
      </c>
      <c r="M19" s="811" t="e">
        <f>HR!N26</f>
        <v>#VALUE!</v>
      </c>
      <c r="N19" s="811" t="e">
        <f>HR!O26</f>
        <v>#VALUE!</v>
      </c>
      <c r="O19" s="812" t="e">
        <f>HR!P26</f>
        <v>#VALUE!</v>
      </c>
      <c r="P19" s="791" t="e">
        <f t="shared" ref="P19:P29" si="14">SUM(Q19:AB19)</f>
        <v>#VALUE!</v>
      </c>
      <c r="Q19" s="834" t="e">
        <f>HR!R26</f>
        <v>#VALUE!</v>
      </c>
      <c r="R19" s="835" t="e">
        <f>HR!S26</f>
        <v>#VALUE!</v>
      </c>
      <c r="S19" s="835" t="e">
        <f>HR!T26</f>
        <v>#VALUE!</v>
      </c>
      <c r="T19" s="835" t="e">
        <f>HR!U26</f>
        <v>#VALUE!</v>
      </c>
      <c r="U19" s="835" t="e">
        <f>HR!V26</f>
        <v>#VALUE!</v>
      </c>
      <c r="V19" s="835" t="e">
        <f>HR!W26</f>
        <v>#VALUE!</v>
      </c>
      <c r="W19" s="835" t="e">
        <f>HR!X26</f>
        <v>#VALUE!</v>
      </c>
      <c r="X19" s="835" t="e">
        <f>HR!Y26</f>
        <v>#VALUE!</v>
      </c>
      <c r="Y19" s="835" t="e">
        <f>HR!Z26</f>
        <v>#VALUE!</v>
      </c>
      <c r="Z19" s="835" t="e">
        <f>HR!AA26</f>
        <v>#VALUE!</v>
      </c>
      <c r="AA19" s="835" t="e">
        <f>HR!AB26</f>
        <v>#VALUE!</v>
      </c>
      <c r="AB19" s="836" t="e">
        <f>HR!AC26</f>
        <v>#VALUE!</v>
      </c>
      <c r="AC19" s="791" t="e">
        <f>($AB$19*('Production Assumptions'!$C$6)^AB2)*12</f>
        <v>#VALUE!</v>
      </c>
      <c r="AD19" s="791" t="e">
        <f>($AB$19*('Production Assumptions'!$C$6)^AC2)*12</f>
        <v>#VALUE!</v>
      </c>
      <c r="AE19" s="791" t="e">
        <f>($AB$19*('Production Assumptions'!$C$6)^AD2)*12</f>
        <v>#VALUE!</v>
      </c>
      <c r="AF19" s="791" t="e">
        <f>($AB$19*('Production Assumptions'!$C$6)^AE2)*12</f>
        <v>#VALUE!</v>
      </c>
      <c r="AG19" s="791" t="e">
        <f>($AB$19*('Production Assumptions'!$C$6)^AF2)*12</f>
        <v>#VALUE!</v>
      </c>
      <c r="AH19" s="791" t="e">
        <f>($AB$19*('Production Assumptions'!$C$6)^AG2)*12</f>
        <v>#VALUE!</v>
      </c>
      <c r="AI19" s="791" t="e">
        <f>($AB$19*('Production Assumptions'!$C$6)^AH2)*12</f>
        <v>#VALUE!</v>
      </c>
      <c r="AJ19" s="791" t="e">
        <f>($AB$19*('Production Assumptions'!$C$6)^AI2)*12</f>
        <v>#VALUE!</v>
      </c>
    </row>
    <row r="20" spans="1:36" s="515" customFormat="1">
      <c r="A20" s="468"/>
      <c r="B20" s="559" t="s">
        <v>153</v>
      </c>
      <c r="C20" s="789">
        <f t="shared" si="13"/>
        <v>9600</v>
      </c>
      <c r="D20" s="813">
        <f>'Production Assumptions'!$C$63</f>
        <v>800</v>
      </c>
      <c r="E20" s="814">
        <f>'Production Assumptions'!$C$63</f>
        <v>800</v>
      </c>
      <c r="F20" s="814">
        <f>'Production Assumptions'!$C$63</f>
        <v>800</v>
      </c>
      <c r="G20" s="814">
        <f>'Production Assumptions'!$C$63</f>
        <v>800</v>
      </c>
      <c r="H20" s="814">
        <f>'Production Assumptions'!$C$63</f>
        <v>800</v>
      </c>
      <c r="I20" s="814">
        <f>'Production Assumptions'!$C$63</f>
        <v>800</v>
      </c>
      <c r="J20" s="814">
        <f>'Production Assumptions'!$C$63</f>
        <v>800</v>
      </c>
      <c r="K20" s="814">
        <f>'Production Assumptions'!$C$63</f>
        <v>800</v>
      </c>
      <c r="L20" s="814">
        <f>'Production Assumptions'!$C$63</f>
        <v>800</v>
      </c>
      <c r="M20" s="814">
        <f>'Production Assumptions'!$C$63</f>
        <v>800</v>
      </c>
      <c r="N20" s="814">
        <f>'Production Assumptions'!$C$63</f>
        <v>800</v>
      </c>
      <c r="O20" s="815">
        <f>'Production Assumptions'!$C$63</f>
        <v>800</v>
      </c>
      <c r="P20" s="788">
        <f t="shared" si="14"/>
        <v>10089.599999999999</v>
      </c>
      <c r="Q20" s="837">
        <f>$O$20*('Production Assumptions'!$C$6)</f>
        <v>840.8</v>
      </c>
      <c r="R20" s="827">
        <f>$O$20*('Production Assumptions'!$C$6)</f>
        <v>840.8</v>
      </c>
      <c r="S20" s="827">
        <f>$O$20*('Production Assumptions'!$C$6)</f>
        <v>840.8</v>
      </c>
      <c r="T20" s="827">
        <f>$O$20*('Production Assumptions'!$C$6)</f>
        <v>840.8</v>
      </c>
      <c r="U20" s="827">
        <f>$O$20*('Production Assumptions'!$C$6)</f>
        <v>840.8</v>
      </c>
      <c r="V20" s="827">
        <f>$O$20*('Production Assumptions'!$C$6)</f>
        <v>840.8</v>
      </c>
      <c r="W20" s="827">
        <f>$O$20*('Production Assumptions'!$C$6)</f>
        <v>840.8</v>
      </c>
      <c r="X20" s="827">
        <f>$O$20*('Production Assumptions'!$C$6)</f>
        <v>840.8</v>
      </c>
      <c r="Y20" s="827">
        <f>$O$20*('Production Assumptions'!$C$6)</f>
        <v>840.8</v>
      </c>
      <c r="Z20" s="827">
        <f>$O$20*('Production Assumptions'!$C$6)</f>
        <v>840.8</v>
      </c>
      <c r="AA20" s="827">
        <f>$O$20*('Production Assumptions'!$C$6)</f>
        <v>840.8</v>
      </c>
      <c r="AB20" s="828">
        <f>$O$20*('Production Assumptions'!$C$6)</f>
        <v>840.8</v>
      </c>
      <c r="AC20" s="788">
        <f>($AB$20*('Production Assumptions'!$C$6))*12</f>
        <v>10604.169599999997</v>
      </c>
      <c r="AD20" s="788">
        <f>($AB$20*('Production Assumptions'!$C$6)^AC2)*12</f>
        <v>11144.9822496</v>
      </c>
      <c r="AE20" s="788">
        <f>($AB$20*('Production Assumptions'!$C$6)^AD2)*12</f>
        <v>11713.376344329599</v>
      </c>
      <c r="AF20" s="788">
        <f>($AB$20*('Production Assumptions'!$C$6)^AE2)*12</f>
        <v>12310.758537890408</v>
      </c>
      <c r="AG20" s="788">
        <f>($AB$20*('Production Assumptions'!$C$6)^AF2)*12</f>
        <v>12938.607223322819</v>
      </c>
      <c r="AH20" s="788">
        <f>($AB$20*('Production Assumptions'!$C$6)^AG2)*12</f>
        <v>13598.476191712283</v>
      </c>
      <c r="AI20" s="788">
        <f>($AB$20*('Production Assumptions'!$C$6)^AH2)*12</f>
        <v>14291.998477489611</v>
      </c>
      <c r="AJ20" s="788">
        <f>($AB$20*('Production Assumptions'!$C$6)^AI2)*12</f>
        <v>15020.890399841581</v>
      </c>
    </row>
    <row r="21" spans="1:36" s="515" customFormat="1">
      <c r="A21" s="468"/>
      <c r="B21" s="559" t="s">
        <v>154</v>
      </c>
      <c r="C21" s="789" t="e">
        <f t="shared" si="13"/>
        <v>#VALUE!</v>
      </c>
      <c r="D21" s="813" t="e">
        <f>IF(Interface!$J$7&lt;9000,0,'Production Assumptions'!$C$10*(1+Interface!$J$7/1000*0.01))</f>
        <v>#VALUE!</v>
      </c>
      <c r="E21" s="816" t="e">
        <f>D21</f>
        <v>#VALUE!</v>
      </c>
      <c r="F21" s="816" t="e">
        <f t="shared" ref="F21:O21" si="15">E21</f>
        <v>#VALUE!</v>
      </c>
      <c r="G21" s="816" t="e">
        <f t="shared" si="15"/>
        <v>#VALUE!</v>
      </c>
      <c r="H21" s="816" t="e">
        <f t="shared" si="15"/>
        <v>#VALUE!</v>
      </c>
      <c r="I21" s="816" t="e">
        <f t="shared" si="15"/>
        <v>#VALUE!</v>
      </c>
      <c r="J21" s="816" t="e">
        <f t="shared" si="15"/>
        <v>#VALUE!</v>
      </c>
      <c r="K21" s="816" t="e">
        <f t="shared" si="15"/>
        <v>#VALUE!</v>
      </c>
      <c r="L21" s="816" t="e">
        <f t="shared" si="15"/>
        <v>#VALUE!</v>
      </c>
      <c r="M21" s="816" t="e">
        <f t="shared" si="15"/>
        <v>#VALUE!</v>
      </c>
      <c r="N21" s="816" t="e">
        <f t="shared" si="15"/>
        <v>#VALUE!</v>
      </c>
      <c r="O21" s="816" t="e">
        <f t="shared" si="15"/>
        <v>#VALUE!</v>
      </c>
      <c r="P21" s="788" t="e">
        <f t="shared" si="14"/>
        <v>#VALUE!</v>
      </c>
      <c r="Q21" s="837" t="e">
        <f>O21*'Production Assumptions'!$C$6</f>
        <v>#VALUE!</v>
      </c>
      <c r="R21" s="827" t="e">
        <f>Q21</f>
        <v>#VALUE!</v>
      </c>
      <c r="S21" s="827" t="e">
        <f t="shared" ref="S21:AB21" si="16">R21</f>
        <v>#VALUE!</v>
      </c>
      <c r="T21" s="827" t="e">
        <f t="shared" si="16"/>
        <v>#VALUE!</v>
      </c>
      <c r="U21" s="827" t="e">
        <f t="shared" si="16"/>
        <v>#VALUE!</v>
      </c>
      <c r="V21" s="827" t="e">
        <f t="shared" si="16"/>
        <v>#VALUE!</v>
      </c>
      <c r="W21" s="827" t="e">
        <f t="shared" si="16"/>
        <v>#VALUE!</v>
      </c>
      <c r="X21" s="827" t="e">
        <f t="shared" si="16"/>
        <v>#VALUE!</v>
      </c>
      <c r="Y21" s="827" t="e">
        <f t="shared" si="16"/>
        <v>#VALUE!</v>
      </c>
      <c r="Z21" s="827" t="e">
        <f t="shared" si="16"/>
        <v>#VALUE!</v>
      </c>
      <c r="AA21" s="827" t="e">
        <f t="shared" si="16"/>
        <v>#VALUE!</v>
      </c>
      <c r="AB21" s="827" t="e">
        <f t="shared" si="16"/>
        <v>#VALUE!</v>
      </c>
      <c r="AC21" s="788" t="e">
        <f>($AB$21*'Production Assumptions'!$C$6^'OPEX - Pond'!AB2)*12</f>
        <v>#VALUE!</v>
      </c>
      <c r="AD21" s="788" t="e">
        <f>($AB$21*'Production Assumptions'!$C$6^'OPEX - Pond'!AC2)*12</f>
        <v>#VALUE!</v>
      </c>
      <c r="AE21" s="788" t="e">
        <f>($AB$21*'Production Assumptions'!$C$6^'OPEX - Pond'!AD2)*12</f>
        <v>#VALUE!</v>
      </c>
      <c r="AF21" s="788" t="e">
        <f>($AB$21*'Production Assumptions'!$C$6^'OPEX - Pond'!AE2)*12</f>
        <v>#VALUE!</v>
      </c>
      <c r="AG21" s="788" t="e">
        <f>($AB$21*'Production Assumptions'!$C$6^'OPEX - Pond'!AF2)*12</f>
        <v>#VALUE!</v>
      </c>
      <c r="AH21" s="788" t="e">
        <f>($AB$21*'Production Assumptions'!$C$6^'OPEX - Pond'!AG2)*12</f>
        <v>#VALUE!</v>
      </c>
      <c r="AI21" s="788" t="e">
        <f>($AB$21*'Production Assumptions'!$C$6^'OPEX - Pond'!AH2)*12</f>
        <v>#VALUE!</v>
      </c>
      <c r="AJ21" s="788" t="e">
        <f>($AB$21*'Production Assumptions'!$C$6^'OPEX - Pond'!AI2)*12</f>
        <v>#VALUE!</v>
      </c>
    </row>
    <row r="22" spans="1:36" s="515" customFormat="1">
      <c r="A22" s="468"/>
      <c r="B22" s="559" t="s">
        <v>10</v>
      </c>
      <c r="C22" s="789" t="e">
        <f t="shared" si="13"/>
        <v>#VALUE!</v>
      </c>
      <c r="D22" s="813" t="e">
        <f>'Production Assumptions'!G24</f>
        <v>#VALUE!</v>
      </c>
      <c r="E22" s="816" t="e">
        <f>D22</f>
        <v>#VALUE!</v>
      </c>
      <c r="F22" s="816" t="e">
        <f t="shared" ref="F22:O22" si="17">E22</f>
        <v>#VALUE!</v>
      </c>
      <c r="G22" s="816" t="e">
        <f t="shared" si="17"/>
        <v>#VALUE!</v>
      </c>
      <c r="H22" s="816" t="e">
        <f t="shared" si="17"/>
        <v>#VALUE!</v>
      </c>
      <c r="I22" s="816" t="e">
        <f t="shared" si="17"/>
        <v>#VALUE!</v>
      </c>
      <c r="J22" s="816" t="e">
        <f t="shared" si="17"/>
        <v>#VALUE!</v>
      </c>
      <c r="K22" s="816" t="e">
        <f t="shared" si="17"/>
        <v>#VALUE!</v>
      </c>
      <c r="L22" s="816" t="e">
        <f t="shared" si="17"/>
        <v>#VALUE!</v>
      </c>
      <c r="M22" s="816" t="e">
        <f t="shared" si="17"/>
        <v>#VALUE!</v>
      </c>
      <c r="N22" s="816" t="e">
        <f t="shared" si="17"/>
        <v>#VALUE!</v>
      </c>
      <c r="O22" s="816" t="e">
        <f t="shared" si="17"/>
        <v>#VALUE!</v>
      </c>
      <c r="P22" s="788" t="e">
        <f t="shared" si="14"/>
        <v>#VALUE!</v>
      </c>
      <c r="Q22" s="837" t="e">
        <f>$O$22*('Production Assumptions'!$C$6)</f>
        <v>#VALUE!</v>
      </c>
      <c r="R22" s="827" t="e">
        <f>$O$22*('Production Assumptions'!$C$6)</f>
        <v>#VALUE!</v>
      </c>
      <c r="S22" s="827" t="e">
        <f>$O$22*('Production Assumptions'!$C$6)</f>
        <v>#VALUE!</v>
      </c>
      <c r="T22" s="827" t="e">
        <f>$O$22*('Production Assumptions'!$C$6)</f>
        <v>#VALUE!</v>
      </c>
      <c r="U22" s="827" t="e">
        <f>$O$22*('Production Assumptions'!$C$6)</f>
        <v>#VALUE!</v>
      </c>
      <c r="V22" s="827" t="e">
        <f>$O$22*('Production Assumptions'!$C$6)</f>
        <v>#VALUE!</v>
      </c>
      <c r="W22" s="827" t="e">
        <f>$O$22*('Production Assumptions'!$C$6)</f>
        <v>#VALUE!</v>
      </c>
      <c r="X22" s="827" t="e">
        <f>$O$22*('Production Assumptions'!$C$6)</f>
        <v>#VALUE!</v>
      </c>
      <c r="Y22" s="827" t="e">
        <f>$O$22*('Production Assumptions'!$C$6)</f>
        <v>#VALUE!</v>
      </c>
      <c r="Z22" s="827" t="e">
        <f>$O$22*('Production Assumptions'!$C$6)</f>
        <v>#VALUE!</v>
      </c>
      <c r="AA22" s="827" t="e">
        <f>$O$22*('Production Assumptions'!$C$6)</f>
        <v>#VALUE!</v>
      </c>
      <c r="AB22" s="828" t="e">
        <f>$O$22*('Production Assumptions'!$C$6)</f>
        <v>#VALUE!</v>
      </c>
      <c r="AC22" s="788" t="e">
        <f>($AB$22*('Production Assumptions'!$C$6))*12</f>
        <v>#VALUE!</v>
      </c>
      <c r="AD22" s="788" t="e">
        <f>($AB$22*('Production Assumptions'!$C$6)^AC2)*12</f>
        <v>#VALUE!</v>
      </c>
      <c r="AE22" s="788" t="e">
        <f>($AB$22*('Production Assumptions'!$C$6)^AD2)*12</f>
        <v>#VALUE!</v>
      </c>
      <c r="AF22" s="788" t="e">
        <f>($AB$22*('Production Assumptions'!$C$6)^AE2)*12</f>
        <v>#VALUE!</v>
      </c>
      <c r="AG22" s="788" t="e">
        <f>($AB$22*('Production Assumptions'!$C$6)^AF2)*12</f>
        <v>#VALUE!</v>
      </c>
      <c r="AH22" s="788" t="e">
        <f>($AB$22*('Production Assumptions'!$C$6)^AG2)*12</f>
        <v>#VALUE!</v>
      </c>
      <c r="AI22" s="788" t="e">
        <f>($AB$22*('Production Assumptions'!$C$6)^AH2)*12</f>
        <v>#VALUE!</v>
      </c>
      <c r="AJ22" s="788" t="e">
        <f>($AB$22*('Production Assumptions'!$C$6)^AI2)*12</f>
        <v>#VALUE!</v>
      </c>
    </row>
    <row r="23" spans="1:36" s="515" customFormat="1">
      <c r="A23" s="468"/>
      <c r="B23" s="559" t="s">
        <v>155</v>
      </c>
      <c r="C23" s="789" t="e">
        <f t="shared" si="13"/>
        <v>#VALUE!</v>
      </c>
      <c r="D23" s="817" t="e">
        <f>'Production Assumptions'!$C$65*HR!$D$39</f>
        <v>#VALUE!</v>
      </c>
      <c r="E23" s="814">
        <v>0</v>
      </c>
      <c r="F23" s="814">
        <v>0</v>
      </c>
      <c r="G23" s="814">
        <v>0</v>
      </c>
      <c r="H23" s="814">
        <v>0</v>
      </c>
      <c r="I23" s="814">
        <v>0</v>
      </c>
      <c r="J23" s="814">
        <v>0</v>
      </c>
      <c r="K23" s="814">
        <v>0</v>
      </c>
      <c r="L23" s="814">
        <v>0</v>
      </c>
      <c r="M23" s="814">
        <v>0</v>
      </c>
      <c r="N23" s="814">
        <v>0</v>
      </c>
      <c r="O23" s="815">
        <v>0</v>
      </c>
      <c r="P23" s="788" t="e">
        <f t="shared" si="14"/>
        <v>#VALUE!</v>
      </c>
      <c r="Q23" s="837" t="e">
        <f>D23*('Production Assumptions'!$C$6)</f>
        <v>#VALUE!</v>
      </c>
      <c r="R23" s="827">
        <f>E23*('Production Assumptions'!$C$6)</f>
        <v>0</v>
      </c>
      <c r="S23" s="827">
        <f>F23*('Production Assumptions'!$C$6)</f>
        <v>0</v>
      </c>
      <c r="T23" s="827">
        <f>G23*('Production Assumptions'!$C$6)</f>
        <v>0</v>
      </c>
      <c r="U23" s="827">
        <f>H23*('Production Assumptions'!$C$6)</f>
        <v>0</v>
      </c>
      <c r="V23" s="827">
        <f>I23*('Production Assumptions'!$C$6)</f>
        <v>0</v>
      </c>
      <c r="W23" s="827">
        <f>J23*('Production Assumptions'!$C$6)</f>
        <v>0</v>
      </c>
      <c r="X23" s="827">
        <f>K23*('Production Assumptions'!$C$6)</f>
        <v>0</v>
      </c>
      <c r="Y23" s="827">
        <f>L23*('Production Assumptions'!$C$6)</f>
        <v>0</v>
      </c>
      <c r="Z23" s="827">
        <f>M23*('Production Assumptions'!$C$6)</f>
        <v>0</v>
      </c>
      <c r="AA23" s="827">
        <f>N23*('Production Assumptions'!$C$6)</f>
        <v>0</v>
      </c>
      <c r="AB23" s="828">
        <f>O23*('Production Assumptions'!$C$6)</f>
        <v>0</v>
      </c>
      <c r="AC23" s="788" t="e">
        <f>$Q$23*('Production Assumptions'!$C$6)</f>
        <v>#VALUE!</v>
      </c>
      <c r="AD23" s="788" t="e">
        <f>$Q$23*('Production Assumptions'!$C$6)^AC2</f>
        <v>#VALUE!</v>
      </c>
      <c r="AE23" s="788" t="e">
        <f>$Q$23*('Production Assumptions'!$C$6)^AD2</f>
        <v>#VALUE!</v>
      </c>
      <c r="AF23" s="788" t="e">
        <f>$Q$23*('Production Assumptions'!$C$6)^AE2</f>
        <v>#VALUE!</v>
      </c>
      <c r="AG23" s="788" t="e">
        <f>$Q$23*('Production Assumptions'!$C$6)^AF2</f>
        <v>#VALUE!</v>
      </c>
      <c r="AH23" s="788" t="e">
        <f>$Q$23*('Production Assumptions'!$C$6)^AG2</f>
        <v>#VALUE!</v>
      </c>
      <c r="AI23" s="788" t="e">
        <f>$Q$23*('Production Assumptions'!$C$6)^AH2</f>
        <v>#VALUE!</v>
      </c>
      <c r="AJ23" s="788" t="e">
        <f>$Q$23*('Production Assumptions'!$C$6)^AI2</f>
        <v>#VALUE!</v>
      </c>
    </row>
    <row r="24" spans="1:36" s="515" customFormat="1">
      <c r="A24" s="468"/>
      <c r="B24" s="559" t="s">
        <v>156</v>
      </c>
      <c r="C24" s="789">
        <f t="shared" si="13"/>
        <v>1200</v>
      </c>
      <c r="D24" s="817">
        <f>IF(Interface!$J$7&lt;9000,0,'Production Assumptions'!$C$66)</f>
        <v>100</v>
      </c>
      <c r="E24" s="814">
        <f>IF(Interface!$J$7&lt;9,0,'Production Assumptions'!$C$66)</f>
        <v>100</v>
      </c>
      <c r="F24" s="814">
        <f>IF(Interface!$J$7&lt;9,0,'Production Assumptions'!$C$66)</f>
        <v>100</v>
      </c>
      <c r="G24" s="814">
        <f>IF(Interface!$J$7&lt;9,0,'Production Assumptions'!$C$66)</f>
        <v>100</v>
      </c>
      <c r="H24" s="814">
        <f>IF(Interface!$J$7&lt;9,0,'Production Assumptions'!$C$66)</f>
        <v>100</v>
      </c>
      <c r="I24" s="814">
        <f>IF(Interface!$J$7&lt;9,0,'Production Assumptions'!$C$66)</f>
        <v>100</v>
      </c>
      <c r="J24" s="814">
        <f>IF(Interface!$J$7&lt;9,0,'Production Assumptions'!$C$66)</f>
        <v>100</v>
      </c>
      <c r="K24" s="814">
        <f>IF(Interface!$J$7&lt;9,0,'Production Assumptions'!$C$66)</f>
        <v>100</v>
      </c>
      <c r="L24" s="814">
        <f>IF(Interface!$J$7&lt;9,0,'Production Assumptions'!$C$66)</f>
        <v>100</v>
      </c>
      <c r="M24" s="814">
        <f>IF(Interface!$J$7&lt;9,0,'Production Assumptions'!$C$66)</f>
        <v>100</v>
      </c>
      <c r="N24" s="814">
        <f>IF(Interface!$J$7&lt;9,0,'Production Assumptions'!$C$66)</f>
        <v>100</v>
      </c>
      <c r="O24" s="815">
        <f>IF(Interface!$J$7&lt;9,0,'Production Assumptions'!$C$66)</f>
        <v>100</v>
      </c>
      <c r="P24" s="788">
        <f t="shared" si="14"/>
        <v>1261.1999999999998</v>
      </c>
      <c r="Q24" s="837">
        <f>$O$24*('Production Assumptions'!$C$6)</f>
        <v>105.1</v>
      </c>
      <c r="R24" s="827">
        <f>$O$24*('Production Assumptions'!$C$6)</f>
        <v>105.1</v>
      </c>
      <c r="S24" s="827">
        <f>$O$24*('Production Assumptions'!$C$6)</f>
        <v>105.1</v>
      </c>
      <c r="T24" s="827">
        <f>$O$24*('Production Assumptions'!$C$6)</f>
        <v>105.1</v>
      </c>
      <c r="U24" s="827">
        <f>$O$24*('Production Assumptions'!$C$6)</f>
        <v>105.1</v>
      </c>
      <c r="V24" s="827">
        <f>$O$24*('Production Assumptions'!$C$6)</f>
        <v>105.1</v>
      </c>
      <c r="W24" s="827">
        <f>$O$24*('Production Assumptions'!$C$6)</f>
        <v>105.1</v>
      </c>
      <c r="X24" s="827">
        <f>$O$24*('Production Assumptions'!$C$6)</f>
        <v>105.1</v>
      </c>
      <c r="Y24" s="827">
        <f>$O$24*('Production Assumptions'!$C$6)</f>
        <v>105.1</v>
      </c>
      <c r="Z24" s="827">
        <f>$O$24*('Production Assumptions'!$C$6)</f>
        <v>105.1</v>
      </c>
      <c r="AA24" s="827">
        <f>$O$24*('Production Assumptions'!$C$6)</f>
        <v>105.1</v>
      </c>
      <c r="AB24" s="828">
        <f>$O$24*('Production Assumptions'!$C$6)</f>
        <v>105.1</v>
      </c>
      <c r="AC24" s="788">
        <f>($AB$24*('Production Assumptions'!$C$6))*12</f>
        <v>1325.5211999999997</v>
      </c>
      <c r="AD24" s="788">
        <f>($AB$24*('Production Assumptions'!$C$6)^AC2)*12</f>
        <v>1393.1227812</v>
      </c>
      <c r="AE24" s="788">
        <f>($AB$24*('Production Assumptions'!$C$6)^AD2)*12</f>
        <v>1464.1720430411999</v>
      </c>
      <c r="AF24" s="788">
        <f>($AB$24*('Production Assumptions'!$C$6)^AE2)*12</f>
        <v>1538.844817236301</v>
      </c>
      <c r="AG24" s="788">
        <f>($AB$24*('Production Assumptions'!$C$6)^AF2)*12</f>
        <v>1617.3259029153523</v>
      </c>
      <c r="AH24" s="788">
        <f>($AB$24*('Production Assumptions'!$C$6)^AG2)*12</f>
        <v>1699.8095239640354</v>
      </c>
      <c r="AI24" s="788">
        <f>($AB$24*('Production Assumptions'!$C$6)^AH2)*12</f>
        <v>1786.4998096862014</v>
      </c>
      <c r="AJ24" s="788">
        <f>($AB$24*('Production Assumptions'!$C$6)^AI2)*12</f>
        <v>1877.6112999801976</v>
      </c>
    </row>
    <row r="25" spans="1:36" s="515" customFormat="1">
      <c r="A25" s="468"/>
      <c r="B25" s="559" t="s">
        <v>157</v>
      </c>
      <c r="C25" s="789">
        <f t="shared" si="13"/>
        <v>6000</v>
      </c>
      <c r="D25" s="817">
        <f>'Production Assumptions'!$C$67</f>
        <v>500</v>
      </c>
      <c r="E25" s="814">
        <f>'Production Assumptions'!$C$67</f>
        <v>500</v>
      </c>
      <c r="F25" s="814">
        <f>'Production Assumptions'!$C$67</f>
        <v>500</v>
      </c>
      <c r="G25" s="814">
        <f>'Production Assumptions'!$C$67</f>
        <v>500</v>
      </c>
      <c r="H25" s="814">
        <f>'Production Assumptions'!$C$67</f>
        <v>500</v>
      </c>
      <c r="I25" s="814">
        <f>'Production Assumptions'!$C$67</f>
        <v>500</v>
      </c>
      <c r="J25" s="814">
        <f>'Production Assumptions'!$C$67</f>
        <v>500</v>
      </c>
      <c r="K25" s="814">
        <f>'Production Assumptions'!$C$67</f>
        <v>500</v>
      </c>
      <c r="L25" s="814">
        <f>'Production Assumptions'!$C$67</f>
        <v>500</v>
      </c>
      <c r="M25" s="814">
        <f>'Production Assumptions'!$C$67</f>
        <v>500</v>
      </c>
      <c r="N25" s="814">
        <f>'Production Assumptions'!$C$67</f>
        <v>500</v>
      </c>
      <c r="O25" s="815">
        <f>'Production Assumptions'!$C$67</f>
        <v>500</v>
      </c>
      <c r="P25" s="788">
        <f t="shared" si="14"/>
        <v>6306</v>
      </c>
      <c r="Q25" s="837">
        <f>$O$25*('Production Assumptions'!$C$6)</f>
        <v>525.5</v>
      </c>
      <c r="R25" s="827">
        <f>$O$25*('Production Assumptions'!$C$6)</f>
        <v>525.5</v>
      </c>
      <c r="S25" s="827">
        <f>$O$25*('Production Assumptions'!$C$6)</f>
        <v>525.5</v>
      </c>
      <c r="T25" s="827">
        <f>$O$25*('Production Assumptions'!$C$6)</f>
        <v>525.5</v>
      </c>
      <c r="U25" s="827">
        <f>$O$25*('Production Assumptions'!$C$6)</f>
        <v>525.5</v>
      </c>
      <c r="V25" s="827">
        <f>$O$25*('Production Assumptions'!$C$6)</f>
        <v>525.5</v>
      </c>
      <c r="W25" s="827">
        <f>$O$25*('Production Assumptions'!$C$6)</f>
        <v>525.5</v>
      </c>
      <c r="X25" s="827">
        <f>$O$25*('Production Assumptions'!$C$6)</f>
        <v>525.5</v>
      </c>
      <c r="Y25" s="827">
        <f>$O$25*('Production Assumptions'!$C$6)</f>
        <v>525.5</v>
      </c>
      <c r="Z25" s="827">
        <f>$O$25*('Production Assumptions'!$C$6)</f>
        <v>525.5</v>
      </c>
      <c r="AA25" s="827">
        <f>$O$25*('Production Assumptions'!$C$6)</f>
        <v>525.5</v>
      </c>
      <c r="AB25" s="828">
        <f>$O$25*('Production Assumptions'!$C$6)</f>
        <v>525.5</v>
      </c>
      <c r="AC25" s="788">
        <f>($AB$25*('Production Assumptions'!$C$6))*12</f>
        <v>6627.6059999999998</v>
      </c>
      <c r="AD25" s="788">
        <f>($AB$25*('Production Assumptions'!$C$6)^AC2)*12</f>
        <v>6965.6139060000005</v>
      </c>
      <c r="AE25" s="788">
        <f>($AB$25*('Production Assumptions'!$C$6)^AD2)*12</f>
        <v>7320.8602152060002</v>
      </c>
      <c r="AF25" s="788">
        <f>($AB$25*('Production Assumptions'!$C$6)^AE2)*12</f>
        <v>7694.2240861815062</v>
      </c>
      <c r="AG25" s="788">
        <f>($AB$25*('Production Assumptions'!$C$6)^AF2)*12</f>
        <v>8086.6295145767617</v>
      </c>
      <c r="AH25" s="788">
        <f>($AB$25*('Production Assumptions'!$C$6)^AG2)*12</f>
        <v>8499.0476198201759</v>
      </c>
      <c r="AI25" s="788">
        <f>($AB$25*('Production Assumptions'!$C$6)^AH2)*12</f>
        <v>8932.4990484310056</v>
      </c>
      <c r="AJ25" s="788">
        <f>($AB$25*('Production Assumptions'!$C$6)^AI2)*12</f>
        <v>9388.0564999009875</v>
      </c>
    </row>
    <row r="26" spans="1:36" s="468" customFormat="1">
      <c r="B26" s="559" t="s">
        <v>300</v>
      </c>
      <c r="C26" s="789">
        <f t="shared" si="13"/>
        <v>7800</v>
      </c>
      <c r="D26" s="818">
        <f>'Production Assumptions'!$C$69</f>
        <v>1950</v>
      </c>
      <c r="E26" s="819">
        <v>0</v>
      </c>
      <c r="F26" s="819">
        <v>0</v>
      </c>
      <c r="G26" s="819">
        <f>D26</f>
        <v>1950</v>
      </c>
      <c r="H26" s="819">
        <v>0</v>
      </c>
      <c r="I26" s="820"/>
      <c r="J26" s="819">
        <f>D26</f>
        <v>1950</v>
      </c>
      <c r="K26" s="819"/>
      <c r="L26" s="819"/>
      <c r="M26" s="819">
        <f>D26</f>
        <v>1950</v>
      </c>
      <c r="N26" s="819"/>
      <c r="O26" s="821"/>
      <c r="P26" s="788">
        <f t="shared" si="14"/>
        <v>8197.7999999999993</v>
      </c>
      <c r="Q26" s="837">
        <f>D26*('Production Assumptions'!$C$6)</f>
        <v>2049.4499999999998</v>
      </c>
      <c r="R26" s="827">
        <f>E26*('Production Assumptions'!$C$6)</f>
        <v>0</v>
      </c>
      <c r="S26" s="827">
        <f>F26*('Production Assumptions'!$C$6)</f>
        <v>0</v>
      </c>
      <c r="T26" s="827">
        <f>G26*('Production Assumptions'!$C$6)</f>
        <v>2049.4499999999998</v>
      </c>
      <c r="U26" s="827">
        <f>H26*('Production Assumptions'!$C$6)</f>
        <v>0</v>
      </c>
      <c r="V26" s="827">
        <f>I26*('Production Assumptions'!$C$6)</f>
        <v>0</v>
      </c>
      <c r="W26" s="827">
        <f>J26*('Production Assumptions'!$C$6)</f>
        <v>2049.4499999999998</v>
      </c>
      <c r="X26" s="827">
        <f>K26*('Production Assumptions'!$C$6)</f>
        <v>0</v>
      </c>
      <c r="Y26" s="827">
        <f>L26*('Production Assumptions'!$C$6)</f>
        <v>0</v>
      </c>
      <c r="Z26" s="827">
        <f>M26*('Production Assumptions'!$C$6)</f>
        <v>2049.4499999999998</v>
      </c>
      <c r="AA26" s="827">
        <f>N26*('Production Assumptions'!$C$6)</f>
        <v>0</v>
      </c>
      <c r="AB26" s="828">
        <f>O26*('Production Assumptions'!$C$6)</f>
        <v>0</v>
      </c>
      <c r="AC26" s="788">
        <f>($P$26*('Production Assumptions'!$C$6))</f>
        <v>8615.8877999999986</v>
      </c>
      <c r="AD26" s="788">
        <f>($P$26*('Production Assumptions'!$C$6)^AC2)</f>
        <v>9055.2980777999983</v>
      </c>
      <c r="AE26" s="788">
        <f>($P$26*('Production Assumptions'!$C$6)^AD2)</f>
        <v>9517.1182797677993</v>
      </c>
      <c r="AF26" s="788">
        <f>($P$26*('Production Assumptions'!$C$6)^AE2)</f>
        <v>10002.491312035956</v>
      </c>
      <c r="AG26" s="788">
        <f>($P$26*('Production Assumptions'!$C$6)^AF2)</f>
        <v>10512.61836894979</v>
      </c>
      <c r="AH26" s="788">
        <f>($P$26*('Production Assumptions'!$C$6)^AG2)</f>
        <v>11048.761905766229</v>
      </c>
      <c r="AI26" s="788">
        <f>($P$26*('Production Assumptions'!$C$6)^AH2)</f>
        <v>11612.248762960307</v>
      </c>
      <c r="AJ26" s="788">
        <f>($P$26*('Production Assumptions'!$C$6)^AI2)</f>
        <v>12204.473449871282</v>
      </c>
    </row>
    <row r="27" spans="1:36" s="515" customFormat="1">
      <c r="A27" s="468"/>
      <c r="B27" s="559" t="s">
        <v>158</v>
      </c>
      <c r="C27" s="789" t="e">
        <f t="shared" si="13"/>
        <v>#VALUE!</v>
      </c>
      <c r="D27" s="813">
        <f>IF(D7=0,60,D7/100*(1+'Production Assumptions'!$C$71)+60)</f>
        <v>60</v>
      </c>
      <c r="E27" s="816">
        <f>IF(E7=0,60,E7/100*(1+'Production Assumptions'!$C$71)+60)</f>
        <v>60</v>
      </c>
      <c r="F27" s="816">
        <f>IF(F7=0,60,F7/100*(1+'Production Assumptions'!$C$71)+60)</f>
        <v>60</v>
      </c>
      <c r="G27" s="816">
        <f>IF(G7=0,60,G7/100*(1+'Production Assumptions'!$C$71)+60)</f>
        <v>60</v>
      </c>
      <c r="H27" s="816">
        <f>IF(H7=0,60,H7/100*(1+'Production Assumptions'!$C$71)+60)</f>
        <v>60</v>
      </c>
      <c r="I27" s="816" t="e">
        <f>IF(I7=0,60,I7/100*(1+'Production Assumptions'!$C$71)+60)</f>
        <v>#VALUE!</v>
      </c>
      <c r="J27" s="816" t="e">
        <f>IF(J7=0,60,J7/100*(1+'Production Assumptions'!$C$71)+60)</f>
        <v>#VALUE!</v>
      </c>
      <c r="K27" s="816" t="e">
        <f>IF(K7=0,60,K7/100*(1+'Production Assumptions'!$C$71)+60)</f>
        <v>#VALUE!</v>
      </c>
      <c r="L27" s="816" t="e">
        <f>IF(L7=0,60,L7/100*(1+'Production Assumptions'!$C$71)+60)</f>
        <v>#VALUE!</v>
      </c>
      <c r="M27" s="816" t="e">
        <f>IF(M7=0,60,M7/100*(1+'Production Assumptions'!$C$71)+60)</f>
        <v>#VALUE!</v>
      </c>
      <c r="N27" s="816" t="e">
        <f>IF(N7=0,60,N7/100*(1+'Production Assumptions'!$C$71)+60)</f>
        <v>#VALUE!</v>
      </c>
      <c r="O27" s="816" t="e">
        <f>IF(O7=0,60,O7/100*(1+'Production Assumptions'!$C$71)+60)</f>
        <v>#VALUE!</v>
      </c>
      <c r="P27" s="788" t="e">
        <f t="shared" si="14"/>
        <v>#VALUE!</v>
      </c>
      <c r="Q27" s="837" t="e">
        <f>IF(Q7=0,60,Q7/100*'Production Assumptions'!C6)</f>
        <v>#VALUE!</v>
      </c>
      <c r="R27" s="827" t="e">
        <f>Q27</f>
        <v>#VALUE!</v>
      </c>
      <c r="S27" s="827" t="e">
        <f t="shared" ref="S27:AB27" si="18">R27</f>
        <v>#VALUE!</v>
      </c>
      <c r="T27" s="827" t="e">
        <f t="shared" si="18"/>
        <v>#VALUE!</v>
      </c>
      <c r="U27" s="827" t="e">
        <f t="shared" si="18"/>
        <v>#VALUE!</v>
      </c>
      <c r="V27" s="827" t="e">
        <f t="shared" si="18"/>
        <v>#VALUE!</v>
      </c>
      <c r="W27" s="827" t="e">
        <f t="shared" si="18"/>
        <v>#VALUE!</v>
      </c>
      <c r="X27" s="827" t="e">
        <f t="shared" si="18"/>
        <v>#VALUE!</v>
      </c>
      <c r="Y27" s="827" t="e">
        <f t="shared" si="18"/>
        <v>#VALUE!</v>
      </c>
      <c r="Z27" s="827" t="e">
        <f t="shared" si="18"/>
        <v>#VALUE!</v>
      </c>
      <c r="AA27" s="827" t="e">
        <f t="shared" si="18"/>
        <v>#VALUE!</v>
      </c>
      <c r="AB27" s="828" t="e">
        <f t="shared" si="18"/>
        <v>#VALUE!</v>
      </c>
      <c r="AC27" s="788" t="e">
        <f>($AB27*('Production Assumptions'!$C$6))*12</f>
        <v>#VALUE!</v>
      </c>
      <c r="AD27" s="788" t="e">
        <f>($AB27*('Production Assumptions'!$C$6)^AC2)*12</f>
        <v>#VALUE!</v>
      </c>
      <c r="AE27" s="788" t="e">
        <f>($AB27*('Production Assumptions'!$C$6)^AD2)*12</f>
        <v>#VALUE!</v>
      </c>
      <c r="AF27" s="788" t="e">
        <f>($AB$27*('Production Assumptions'!$C$6)^AE2)*12</f>
        <v>#VALUE!</v>
      </c>
      <c r="AG27" s="788" t="e">
        <f>($AB$27*('Production Assumptions'!$C$6)^AF2)*12</f>
        <v>#VALUE!</v>
      </c>
      <c r="AH27" s="788" t="e">
        <f>($AB$27*('Production Assumptions'!$C$6)^AG2)*12</f>
        <v>#VALUE!</v>
      </c>
      <c r="AI27" s="788" t="e">
        <f>($AB$27*('Production Assumptions'!$C$6)^AH2)*12</f>
        <v>#VALUE!</v>
      </c>
      <c r="AJ27" s="788" t="e">
        <f>($AB$27*('Production Assumptions'!$C$6)^AI2)*12</f>
        <v>#VALUE!</v>
      </c>
    </row>
    <row r="28" spans="1:36" s="515" customFormat="1">
      <c r="A28" s="468"/>
      <c r="B28" s="559" t="s">
        <v>159</v>
      </c>
      <c r="C28" s="789" t="e">
        <f t="shared" si="13"/>
        <v>#VALUE!</v>
      </c>
      <c r="D28" s="817" t="e">
        <f>IF(Interface!$J$7&lt;15000,0,'Production Assumptions'!$C$73)</f>
        <v>#VALUE!</v>
      </c>
      <c r="E28" s="814" t="e">
        <f>IF(Interface!$J$7&lt;15000,0,'Production Assumptions'!$C$73)</f>
        <v>#VALUE!</v>
      </c>
      <c r="F28" s="814" t="e">
        <f>IF(Interface!$J$7&lt;15000,0,'Production Assumptions'!$C$73)</f>
        <v>#VALUE!</v>
      </c>
      <c r="G28" s="814" t="e">
        <f>IF(Interface!$J$7&lt;15000,0,'Production Assumptions'!$C$73)</f>
        <v>#VALUE!</v>
      </c>
      <c r="H28" s="814" t="e">
        <f>IF(Interface!$J$7&lt;15000,0,'Production Assumptions'!$C$73)</f>
        <v>#VALUE!</v>
      </c>
      <c r="I28" s="814" t="e">
        <f>IF(Interface!$J$7&lt;15000,0,'Production Assumptions'!$C$73)</f>
        <v>#VALUE!</v>
      </c>
      <c r="J28" s="814" t="e">
        <f>IF(Interface!$J$7&lt;15000,0,'Production Assumptions'!$C$73)</f>
        <v>#VALUE!</v>
      </c>
      <c r="K28" s="814" t="e">
        <f>IF(Interface!$J$7&lt;15000,0,'Production Assumptions'!$C$73)</f>
        <v>#VALUE!</v>
      </c>
      <c r="L28" s="814" t="e">
        <f>IF(Interface!$J$7&lt;15000,0,'Production Assumptions'!$C$73)</f>
        <v>#VALUE!</v>
      </c>
      <c r="M28" s="814" t="e">
        <f>IF(Interface!$J$7&lt;15000,0,'Production Assumptions'!$C$73)</f>
        <v>#VALUE!</v>
      </c>
      <c r="N28" s="814" t="e">
        <f>IF(Interface!$J$7&lt;15000,0,'Production Assumptions'!$C$73)</f>
        <v>#VALUE!</v>
      </c>
      <c r="O28" s="815" t="e">
        <f>IF(Interface!$J$7&lt;15000,0,'Production Assumptions'!$C$73)</f>
        <v>#VALUE!</v>
      </c>
      <c r="P28" s="788" t="e">
        <f t="shared" si="14"/>
        <v>#VALUE!</v>
      </c>
      <c r="Q28" s="837" t="e">
        <f>O28*'Production Assumptions'!C6</f>
        <v>#VALUE!</v>
      </c>
      <c r="R28" s="827" t="e">
        <f>Q28</f>
        <v>#VALUE!</v>
      </c>
      <c r="S28" s="827" t="e">
        <f t="shared" ref="S28:AB28" si="19">R28</f>
        <v>#VALUE!</v>
      </c>
      <c r="T28" s="827" t="e">
        <f t="shared" si="19"/>
        <v>#VALUE!</v>
      </c>
      <c r="U28" s="827" t="e">
        <f t="shared" si="19"/>
        <v>#VALUE!</v>
      </c>
      <c r="V28" s="827" t="e">
        <f t="shared" si="19"/>
        <v>#VALUE!</v>
      </c>
      <c r="W28" s="827" t="e">
        <f t="shared" si="19"/>
        <v>#VALUE!</v>
      </c>
      <c r="X28" s="827" t="e">
        <f t="shared" si="19"/>
        <v>#VALUE!</v>
      </c>
      <c r="Y28" s="827" t="e">
        <f t="shared" si="19"/>
        <v>#VALUE!</v>
      </c>
      <c r="Z28" s="827" t="e">
        <f t="shared" si="19"/>
        <v>#VALUE!</v>
      </c>
      <c r="AA28" s="827" t="e">
        <f t="shared" si="19"/>
        <v>#VALUE!</v>
      </c>
      <c r="AB28" s="828" t="e">
        <f t="shared" si="19"/>
        <v>#VALUE!</v>
      </c>
      <c r="AC28" s="788" t="e">
        <f>($AB28*('Production Assumptions'!$C$6))*12</f>
        <v>#VALUE!</v>
      </c>
      <c r="AD28" s="788" t="e">
        <f>($AB28*('Production Assumptions'!$C$6)^AC2)*12</f>
        <v>#VALUE!</v>
      </c>
      <c r="AE28" s="788" t="e">
        <f>($AB28*('Production Assumptions'!$C$6)^AD2)*12</f>
        <v>#VALUE!</v>
      </c>
      <c r="AF28" s="788" t="e">
        <f>($AB28*('Production Assumptions'!$C$6)^AE2)*12</f>
        <v>#VALUE!</v>
      </c>
      <c r="AG28" s="788" t="e">
        <f>($AB28*('Production Assumptions'!$C$6)^AF2)*12</f>
        <v>#VALUE!</v>
      </c>
      <c r="AH28" s="788" t="e">
        <f>($AB28*('Production Assumptions'!$C$6)^AG2)*12</f>
        <v>#VALUE!</v>
      </c>
      <c r="AI28" s="788" t="e">
        <f>($AB28*('Production Assumptions'!$C$6)^AH2)*12</f>
        <v>#VALUE!</v>
      </c>
      <c r="AJ28" s="788" t="e">
        <f>($AB28*('Production Assumptions'!$C$6)^AI2)*12</f>
        <v>#VALUE!</v>
      </c>
    </row>
    <row r="29" spans="1:36" s="515" customFormat="1" ht="13.5" thickBot="1">
      <c r="A29" s="468"/>
      <c r="B29" s="559" t="s">
        <v>160</v>
      </c>
      <c r="C29" s="789" t="e">
        <f t="shared" si="13"/>
        <v>#VALUE!</v>
      </c>
      <c r="D29" s="817" t="e">
        <f>D$16*'Production Assumptions'!$C$75</f>
        <v>#VALUE!</v>
      </c>
      <c r="E29" s="814" t="e">
        <f>$D$29</f>
        <v>#VALUE!</v>
      </c>
      <c r="F29" s="814" t="e">
        <f t="shared" ref="F29:O29" si="20">$D$29</f>
        <v>#VALUE!</v>
      </c>
      <c r="G29" s="814" t="e">
        <f t="shared" si="20"/>
        <v>#VALUE!</v>
      </c>
      <c r="H29" s="814" t="e">
        <f t="shared" si="20"/>
        <v>#VALUE!</v>
      </c>
      <c r="I29" s="814" t="e">
        <f t="shared" si="20"/>
        <v>#VALUE!</v>
      </c>
      <c r="J29" s="814" t="e">
        <f t="shared" si="20"/>
        <v>#VALUE!</v>
      </c>
      <c r="K29" s="814" t="e">
        <f t="shared" si="20"/>
        <v>#VALUE!</v>
      </c>
      <c r="L29" s="814" t="e">
        <f t="shared" si="20"/>
        <v>#VALUE!</v>
      </c>
      <c r="M29" s="814" t="e">
        <f t="shared" si="20"/>
        <v>#VALUE!</v>
      </c>
      <c r="N29" s="814" t="e">
        <f t="shared" si="20"/>
        <v>#VALUE!</v>
      </c>
      <c r="O29" s="815" t="e">
        <f t="shared" si="20"/>
        <v>#VALUE!</v>
      </c>
      <c r="P29" s="788" t="e">
        <f t="shared" si="14"/>
        <v>#VALUE!</v>
      </c>
      <c r="Q29" s="837" t="e">
        <f>$O$29*('Production Assumptions'!$C$6)</f>
        <v>#VALUE!</v>
      </c>
      <c r="R29" s="827" t="e">
        <f>$O$29*('Production Assumptions'!$C$6)</f>
        <v>#VALUE!</v>
      </c>
      <c r="S29" s="827" t="e">
        <f>$O$29*('Production Assumptions'!$C$6)</f>
        <v>#VALUE!</v>
      </c>
      <c r="T29" s="827" t="e">
        <f>$O$29*('Production Assumptions'!$C$6)</f>
        <v>#VALUE!</v>
      </c>
      <c r="U29" s="827" t="e">
        <f>$O$29*('Production Assumptions'!$C$6)</f>
        <v>#VALUE!</v>
      </c>
      <c r="V29" s="827" t="e">
        <f>$O$29*('Production Assumptions'!$C$6)</f>
        <v>#VALUE!</v>
      </c>
      <c r="W29" s="827" t="e">
        <f>$O$29*('Production Assumptions'!$C$6)</f>
        <v>#VALUE!</v>
      </c>
      <c r="X29" s="827" t="e">
        <f>$O$29*('Production Assumptions'!$C$6)</f>
        <v>#VALUE!</v>
      </c>
      <c r="Y29" s="827" t="e">
        <f>$O$29*('Production Assumptions'!$C$6)</f>
        <v>#VALUE!</v>
      </c>
      <c r="Z29" s="827" t="e">
        <f>$O$29*('Production Assumptions'!$C$6)</f>
        <v>#VALUE!</v>
      </c>
      <c r="AA29" s="827" t="e">
        <f>$O$29*('Production Assumptions'!$C$6)</f>
        <v>#VALUE!</v>
      </c>
      <c r="AB29" s="828" t="e">
        <f>$O$29*('Production Assumptions'!$C$6)</f>
        <v>#VALUE!</v>
      </c>
      <c r="AC29" s="788" t="e">
        <f>($AB$29*('Production Assumptions'!$C$6))*12</f>
        <v>#VALUE!</v>
      </c>
      <c r="AD29" s="788" t="e">
        <f>($AB$29*('Production Assumptions'!$C$6)^AC2)*12</f>
        <v>#VALUE!</v>
      </c>
      <c r="AE29" s="788" t="e">
        <f>($AB$29*('Production Assumptions'!$C$6)^AD2)*12</f>
        <v>#VALUE!</v>
      </c>
      <c r="AF29" s="788" t="e">
        <f>($AB$29*('Production Assumptions'!$C$6)^AE2)*12</f>
        <v>#VALUE!</v>
      </c>
      <c r="AG29" s="788" t="e">
        <f>($AB$29*('Production Assumptions'!$C$6)^AF2)*12</f>
        <v>#VALUE!</v>
      </c>
      <c r="AH29" s="788" t="e">
        <f>($AB$29*('Production Assumptions'!$C$6)^AG2)*12</f>
        <v>#VALUE!</v>
      </c>
      <c r="AI29" s="788" t="e">
        <f>($AB$29*('Production Assumptions'!$C$6)^AH2)*12</f>
        <v>#VALUE!</v>
      </c>
      <c r="AJ29" s="788" t="e">
        <f>($AB$29*('Production Assumptions'!$C$6)^AI2)*12</f>
        <v>#VALUE!</v>
      </c>
    </row>
    <row r="30" spans="1:36" ht="13.5" thickBot="1">
      <c r="A30" s="570"/>
      <c r="B30" s="561" t="s">
        <v>161</v>
      </c>
      <c r="C30" s="784" t="e">
        <f t="shared" ref="C30:AJ30" si="21">SUM(C19:C29)</f>
        <v>#VALUE!</v>
      </c>
      <c r="D30" s="786" t="e">
        <f t="shared" si="21"/>
        <v>#VALUE!</v>
      </c>
      <c r="E30" s="785" t="e">
        <f t="shared" si="21"/>
        <v>#VALUE!</v>
      </c>
      <c r="F30" s="785" t="e">
        <f t="shared" si="21"/>
        <v>#VALUE!</v>
      </c>
      <c r="G30" s="785" t="e">
        <f t="shared" si="21"/>
        <v>#VALUE!</v>
      </c>
      <c r="H30" s="785" t="e">
        <f t="shared" si="21"/>
        <v>#VALUE!</v>
      </c>
      <c r="I30" s="785" t="e">
        <f t="shared" si="21"/>
        <v>#VALUE!</v>
      </c>
      <c r="J30" s="785" t="e">
        <f t="shared" si="21"/>
        <v>#VALUE!</v>
      </c>
      <c r="K30" s="785" t="e">
        <f t="shared" si="21"/>
        <v>#VALUE!</v>
      </c>
      <c r="L30" s="785" t="e">
        <f t="shared" si="21"/>
        <v>#VALUE!</v>
      </c>
      <c r="M30" s="785" t="e">
        <f t="shared" si="21"/>
        <v>#VALUE!</v>
      </c>
      <c r="N30" s="785" t="e">
        <f t="shared" si="21"/>
        <v>#VALUE!</v>
      </c>
      <c r="O30" s="807" t="e">
        <f t="shared" si="21"/>
        <v>#VALUE!</v>
      </c>
      <c r="P30" s="784" t="e">
        <f t="shared" si="21"/>
        <v>#VALUE!</v>
      </c>
      <c r="Q30" s="786" t="e">
        <f t="shared" si="21"/>
        <v>#VALUE!</v>
      </c>
      <c r="R30" s="785" t="e">
        <f t="shared" si="21"/>
        <v>#VALUE!</v>
      </c>
      <c r="S30" s="785" t="e">
        <f t="shared" si="21"/>
        <v>#VALUE!</v>
      </c>
      <c r="T30" s="785" t="e">
        <f t="shared" si="21"/>
        <v>#VALUE!</v>
      </c>
      <c r="U30" s="785" t="e">
        <f t="shared" si="21"/>
        <v>#VALUE!</v>
      </c>
      <c r="V30" s="785" t="e">
        <f t="shared" si="21"/>
        <v>#VALUE!</v>
      </c>
      <c r="W30" s="785" t="e">
        <f t="shared" si="21"/>
        <v>#VALUE!</v>
      </c>
      <c r="X30" s="785" t="e">
        <f t="shared" si="21"/>
        <v>#VALUE!</v>
      </c>
      <c r="Y30" s="785" t="e">
        <f t="shared" si="21"/>
        <v>#VALUE!</v>
      </c>
      <c r="Z30" s="785" t="e">
        <f t="shared" si="21"/>
        <v>#VALUE!</v>
      </c>
      <c r="AA30" s="785" t="e">
        <f t="shared" si="21"/>
        <v>#VALUE!</v>
      </c>
      <c r="AB30" s="807" t="e">
        <f t="shared" si="21"/>
        <v>#VALUE!</v>
      </c>
      <c r="AC30" s="784" t="e">
        <f t="shared" si="21"/>
        <v>#VALUE!</v>
      </c>
      <c r="AD30" s="784" t="e">
        <f t="shared" si="21"/>
        <v>#VALUE!</v>
      </c>
      <c r="AE30" s="784" t="e">
        <f t="shared" si="21"/>
        <v>#VALUE!</v>
      </c>
      <c r="AF30" s="784" t="e">
        <f t="shared" si="21"/>
        <v>#VALUE!</v>
      </c>
      <c r="AG30" s="784" t="e">
        <f t="shared" si="21"/>
        <v>#VALUE!</v>
      </c>
      <c r="AH30" s="784" t="e">
        <f t="shared" si="21"/>
        <v>#VALUE!</v>
      </c>
      <c r="AI30" s="784" t="e">
        <f t="shared" si="21"/>
        <v>#VALUE!</v>
      </c>
      <c r="AJ30" s="784" t="e">
        <f t="shared" si="21"/>
        <v>#VALUE!</v>
      </c>
    </row>
    <row r="31" spans="1:36" ht="13.5" thickBot="1">
      <c r="B31" s="515"/>
      <c r="C31" s="792"/>
      <c r="D31" s="560"/>
      <c r="E31" s="560"/>
      <c r="F31" s="560"/>
      <c r="G31" s="560"/>
      <c r="H31" s="560"/>
      <c r="I31" s="560"/>
      <c r="J31" s="560"/>
      <c r="K31" s="560"/>
      <c r="L31" s="560"/>
      <c r="M31" s="560"/>
      <c r="N31" s="560"/>
      <c r="O31" s="560"/>
      <c r="P31" s="792"/>
      <c r="Q31" s="560"/>
      <c r="R31" s="560"/>
      <c r="S31" s="560"/>
      <c r="T31" s="560"/>
      <c r="U31" s="560"/>
      <c r="V31" s="560"/>
      <c r="W31" s="560"/>
      <c r="X31" s="560"/>
      <c r="Y31" s="560"/>
      <c r="Z31" s="560"/>
      <c r="AA31" s="560"/>
      <c r="AB31" s="560"/>
      <c r="AC31" s="792"/>
      <c r="AD31" s="792"/>
      <c r="AE31" s="792"/>
      <c r="AF31" s="792"/>
      <c r="AG31" s="792"/>
      <c r="AH31" s="792"/>
      <c r="AI31" s="792"/>
      <c r="AJ31" s="792"/>
    </row>
    <row r="32" spans="1:36" ht="13.5" thickBot="1">
      <c r="B32" s="590" t="s">
        <v>162</v>
      </c>
      <c r="C32" s="793" t="e">
        <f t="shared" ref="C32:AJ32" si="22">C16+C30</f>
        <v>#VALUE!</v>
      </c>
      <c r="D32" s="796" t="e">
        <f t="shared" si="22"/>
        <v>#VALUE!</v>
      </c>
      <c r="E32" s="794" t="e">
        <f t="shared" si="22"/>
        <v>#VALUE!</v>
      </c>
      <c r="F32" s="794" t="e">
        <f t="shared" si="22"/>
        <v>#VALUE!</v>
      </c>
      <c r="G32" s="794" t="e">
        <f t="shared" si="22"/>
        <v>#VALUE!</v>
      </c>
      <c r="H32" s="794" t="e">
        <f t="shared" si="22"/>
        <v>#VALUE!</v>
      </c>
      <c r="I32" s="794" t="e">
        <f t="shared" si="22"/>
        <v>#VALUE!</v>
      </c>
      <c r="J32" s="794" t="e">
        <f t="shared" si="22"/>
        <v>#VALUE!</v>
      </c>
      <c r="K32" s="794" t="e">
        <f t="shared" si="22"/>
        <v>#VALUE!</v>
      </c>
      <c r="L32" s="794" t="e">
        <f t="shared" si="22"/>
        <v>#VALUE!</v>
      </c>
      <c r="M32" s="794" t="e">
        <f t="shared" si="22"/>
        <v>#VALUE!</v>
      </c>
      <c r="N32" s="794" t="e">
        <f t="shared" si="22"/>
        <v>#VALUE!</v>
      </c>
      <c r="O32" s="795" t="e">
        <f t="shared" si="22"/>
        <v>#VALUE!</v>
      </c>
      <c r="P32" s="793" t="e">
        <f t="shared" si="22"/>
        <v>#VALUE!</v>
      </c>
      <c r="Q32" s="796" t="e">
        <f t="shared" si="22"/>
        <v>#VALUE!</v>
      </c>
      <c r="R32" s="794" t="e">
        <f t="shared" si="22"/>
        <v>#VALUE!</v>
      </c>
      <c r="S32" s="794" t="e">
        <f t="shared" si="22"/>
        <v>#VALUE!</v>
      </c>
      <c r="T32" s="794" t="e">
        <f t="shared" si="22"/>
        <v>#VALUE!</v>
      </c>
      <c r="U32" s="794" t="e">
        <f t="shared" si="22"/>
        <v>#VALUE!</v>
      </c>
      <c r="V32" s="794" t="e">
        <f t="shared" si="22"/>
        <v>#VALUE!</v>
      </c>
      <c r="W32" s="794" t="e">
        <f t="shared" si="22"/>
        <v>#VALUE!</v>
      </c>
      <c r="X32" s="794" t="e">
        <f t="shared" si="22"/>
        <v>#VALUE!</v>
      </c>
      <c r="Y32" s="794" t="e">
        <f t="shared" si="22"/>
        <v>#VALUE!</v>
      </c>
      <c r="Z32" s="794" t="e">
        <f t="shared" si="22"/>
        <v>#VALUE!</v>
      </c>
      <c r="AA32" s="794" t="e">
        <f t="shared" si="22"/>
        <v>#VALUE!</v>
      </c>
      <c r="AB32" s="795" t="e">
        <f t="shared" si="22"/>
        <v>#VALUE!</v>
      </c>
      <c r="AC32" s="793" t="e">
        <f t="shared" si="22"/>
        <v>#VALUE!</v>
      </c>
      <c r="AD32" s="793" t="e">
        <f t="shared" si="22"/>
        <v>#VALUE!</v>
      </c>
      <c r="AE32" s="793" t="e">
        <f t="shared" si="22"/>
        <v>#VALUE!</v>
      </c>
      <c r="AF32" s="793" t="e">
        <f t="shared" si="22"/>
        <v>#VALUE!</v>
      </c>
      <c r="AG32" s="793" t="e">
        <f t="shared" si="22"/>
        <v>#VALUE!</v>
      </c>
      <c r="AH32" s="793" t="e">
        <f t="shared" si="22"/>
        <v>#VALUE!</v>
      </c>
      <c r="AI32" s="793" t="e">
        <f t="shared" si="22"/>
        <v>#VALUE!</v>
      </c>
      <c r="AJ32" s="793" t="e">
        <f t="shared" si="22"/>
        <v>#VALUE!</v>
      </c>
    </row>
    <row r="33" spans="2:36" ht="13.5" thickBot="1">
      <c r="B33" s="515"/>
      <c r="C33" s="797"/>
      <c r="D33" s="782"/>
      <c r="E33" s="782"/>
      <c r="F33" s="782"/>
      <c r="G33" s="782"/>
      <c r="H33" s="782"/>
      <c r="I33" s="782"/>
      <c r="J33" s="782"/>
      <c r="K33" s="782"/>
      <c r="L33" s="782"/>
      <c r="M33" s="782"/>
      <c r="N33" s="782"/>
      <c r="O33" s="782"/>
      <c r="P33" s="797"/>
      <c r="Q33" s="782"/>
      <c r="R33" s="782"/>
      <c r="S33" s="782"/>
      <c r="T33" s="782"/>
      <c r="U33" s="782"/>
      <c r="V33" s="782"/>
      <c r="W33" s="782"/>
      <c r="X33" s="782"/>
      <c r="Y33" s="782"/>
      <c r="Z33" s="782"/>
      <c r="AA33" s="782"/>
      <c r="AB33" s="782"/>
      <c r="AC33" s="797"/>
      <c r="AD33" s="797"/>
      <c r="AE33" s="797"/>
      <c r="AF33" s="797"/>
      <c r="AG33" s="797"/>
      <c r="AH33" s="797"/>
      <c r="AI33" s="797"/>
      <c r="AJ33" s="797"/>
    </row>
    <row r="34" spans="2:36" ht="13.5" thickBot="1">
      <c r="B34" s="594" t="s">
        <v>163</v>
      </c>
      <c r="C34" s="798" t="e">
        <f t="shared" ref="C34:AJ34" si="23">C7-C32</f>
        <v>#VALUE!</v>
      </c>
      <c r="D34" s="801" t="e">
        <f t="shared" si="23"/>
        <v>#VALUE!</v>
      </c>
      <c r="E34" s="799" t="e">
        <f t="shared" si="23"/>
        <v>#VALUE!</v>
      </c>
      <c r="F34" s="799" t="e">
        <f t="shared" si="23"/>
        <v>#VALUE!</v>
      </c>
      <c r="G34" s="799" t="e">
        <f t="shared" si="23"/>
        <v>#VALUE!</v>
      </c>
      <c r="H34" s="799" t="e">
        <f t="shared" si="23"/>
        <v>#VALUE!</v>
      </c>
      <c r="I34" s="799" t="e">
        <f t="shared" si="23"/>
        <v>#VALUE!</v>
      </c>
      <c r="J34" s="799" t="e">
        <f t="shared" si="23"/>
        <v>#VALUE!</v>
      </c>
      <c r="K34" s="799" t="e">
        <f t="shared" si="23"/>
        <v>#VALUE!</v>
      </c>
      <c r="L34" s="799" t="e">
        <f t="shared" si="23"/>
        <v>#VALUE!</v>
      </c>
      <c r="M34" s="799" t="e">
        <f t="shared" si="23"/>
        <v>#VALUE!</v>
      </c>
      <c r="N34" s="799" t="e">
        <f t="shared" si="23"/>
        <v>#VALUE!</v>
      </c>
      <c r="O34" s="800" t="e">
        <f t="shared" si="23"/>
        <v>#VALUE!</v>
      </c>
      <c r="P34" s="798" t="e">
        <f t="shared" si="23"/>
        <v>#VALUE!</v>
      </c>
      <c r="Q34" s="801" t="e">
        <f t="shared" si="23"/>
        <v>#VALUE!</v>
      </c>
      <c r="R34" s="799" t="e">
        <f t="shared" si="23"/>
        <v>#VALUE!</v>
      </c>
      <c r="S34" s="799" t="e">
        <f t="shared" si="23"/>
        <v>#VALUE!</v>
      </c>
      <c r="T34" s="799" t="e">
        <f t="shared" si="23"/>
        <v>#VALUE!</v>
      </c>
      <c r="U34" s="799" t="e">
        <f t="shared" si="23"/>
        <v>#VALUE!</v>
      </c>
      <c r="V34" s="799" t="e">
        <f t="shared" si="23"/>
        <v>#VALUE!</v>
      </c>
      <c r="W34" s="799" t="e">
        <f t="shared" si="23"/>
        <v>#VALUE!</v>
      </c>
      <c r="X34" s="799" t="e">
        <f t="shared" si="23"/>
        <v>#VALUE!</v>
      </c>
      <c r="Y34" s="799" t="e">
        <f t="shared" si="23"/>
        <v>#VALUE!</v>
      </c>
      <c r="Z34" s="799" t="e">
        <f t="shared" si="23"/>
        <v>#VALUE!</v>
      </c>
      <c r="AA34" s="799" t="e">
        <f t="shared" si="23"/>
        <v>#VALUE!</v>
      </c>
      <c r="AB34" s="800" t="e">
        <f t="shared" si="23"/>
        <v>#VALUE!</v>
      </c>
      <c r="AC34" s="798" t="e">
        <f t="shared" si="23"/>
        <v>#VALUE!</v>
      </c>
      <c r="AD34" s="798" t="e">
        <f t="shared" si="23"/>
        <v>#VALUE!</v>
      </c>
      <c r="AE34" s="798" t="e">
        <f t="shared" si="23"/>
        <v>#VALUE!</v>
      </c>
      <c r="AF34" s="798" t="e">
        <f t="shared" si="23"/>
        <v>#VALUE!</v>
      </c>
      <c r="AG34" s="798" t="e">
        <f t="shared" si="23"/>
        <v>#VALUE!</v>
      </c>
      <c r="AH34" s="798" t="e">
        <f t="shared" si="23"/>
        <v>#VALUE!</v>
      </c>
      <c r="AI34" s="798" t="e">
        <f t="shared" si="23"/>
        <v>#VALUE!</v>
      </c>
      <c r="AJ34" s="798" t="e">
        <f t="shared" si="23"/>
        <v>#VALUE!</v>
      </c>
    </row>
  </sheetData>
  <mergeCells count="13">
    <mergeCell ref="A1:AC1"/>
    <mergeCell ref="C3:C4"/>
    <mergeCell ref="D3:O3"/>
    <mergeCell ref="P3:P4"/>
    <mergeCell ref="Q3:AB3"/>
    <mergeCell ref="AC3:AC4"/>
    <mergeCell ref="AJ3:AJ4"/>
    <mergeCell ref="AD3:AD4"/>
    <mergeCell ref="AE3:AE4"/>
    <mergeCell ref="AF3:AF4"/>
    <mergeCell ref="AG3:AG4"/>
    <mergeCell ref="AH3:AH4"/>
    <mergeCell ref="AI3:AI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0FA54-F946-4F2A-94CB-C50638614D66}">
  <sheetPr codeName="Sheet55">
    <tabColor theme="5" tint="0.39997558519241921"/>
  </sheetPr>
  <dimension ref="A1:X34"/>
  <sheetViews>
    <sheetView showGridLines="0" zoomScaleNormal="100" zoomScaleSheetLayoutView="100" workbookViewId="0">
      <selection activeCell="M16" sqref="M16"/>
    </sheetView>
  </sheetViews>
  <sheetFormatPr defaultColWidth="9.140625" defaultRowHeight="12.75"/>
  <cols>
    <col min="1" max="1" width="3" style="468" customWidth="1"/>
    <col min="2" max="2" width="30.28515625" style="515" bestFit="1" customWidth="1"/>
    <col min="3" max="3" width="14.42578125" style="515" bestFit="1" customWidth="1"/>
    <col min="4" max="6" width="13.5703125" style="515" bestFit="1" customWidth="1"/>
    <col min="7" max="7" width="12.28515625" style="515" bestFit="1" customWidth="1"/>
    <col min="8" max="8" width="13.7109375" style="515" bestFit="1" customWidth="1"/>
    <col min="9" max="9" width="14.5703125" style="515" bestFit="1" customWidth="1"/>
    <col min="10" max="16384" width="9.140625" style="515"/>
  </cols>
  <sheetData>
    <row r="1" spans="1:24" ht="15">
      <c r="A1" s="1204" t="s">
        <v>430</v>
      </c>
      <c r="B1" s="1204"/>
      <c r="C1" s="1204"/>
      <c r="D1" s="1204"/>
      <c r="E1" s="1204"/>
      <c r="F1" s="1204"/>
      <c r="G1" s="1204"/>
      <c r="H1" s="1204"/>
      <c r="I1" s="1204"/>
      <c r="J1" s="1204"/>
      <c r="K1" s="1204"/>
      <c r="L1" s="1204"/>
      <c r="M1" s="1204"/>
      <c r="N1" s="1204"/>
      <c r="O1" s="1204"/>
      <c r="P1" s="1204"/>
      <c r="Q1" s="1204"/>
      <c r="R1" s="1204"/>
      <c r="S1" s="1204"/>
      <c r="T1" s="1204"/>
      <c r="U1" s="1204"/>
      <c r="V1" s="1204"/>
      <c r="W1" s="1204"/>
      <c r="X1" s="1204"/>
    </row>
    <row r="2" spans="1:24" ht="13.5" thickBot="1"/>
    <row r="3" spans="1:24" ht="13.5" thickBot="1">
      <c r="B3" s="1208" t="s">
        <v>237</v>
      </c>
      <c r="C3" s="614"/>
      <c r="D3" s="615"/>
      <c r="E3" s="615"/>
      <c r="F3" s="615"/>
      <c r="G3" s="615"/>
      <c r="H3" s="616"/>
    </row>
    <row r="4" spans="1:24" ht="13.5" thickBot="1">
      <c r="B4" s="1209"/>
      <c r="C4" s="599" t="s">
        <v>134</v>
      </c>
      <c r="D4" s="599" t="s">
        <v>135</v>
      </c>
      <c r="E4" s="599" t="s">
        <v>136</v>
      </c>
      <c r="F4" s="599" t="s">
        <v>137</v>
      </c>
      <c r="G4" s="599" t="s">
        <v>138</v>
      </c>
      <c r="H4" s="599" t="s">
        <v>139</v>
      </c>
      <c r="I4" s="643" t="s">
        <v>20</v>
      </c>
    </row>
    <row r="5" spans="1:24" ht="13.5" thickBot="1">
      <c r="B5" s="624" t="s">
        <v>148</v>
      </c>
      <c r="C5" s="636"/>
      <c r="D5" s="636"/>
      <c r="E5" s="636"/>
      <c r="F5" s="636"/>
      <c r="G5" s="636"/>
      <c r="H5" s="636"/>
      <c r="I5" s="644"/>
    </row>
    <row r="6" spans="1:24">
      <c r="B6" s="559" t="str">
        <f>'OPEX - Pond'!B10</f>
        <v>Broodstock</v>
      </c>
      <c r="C6" s="628">
        <f>'OPEX - Pond'!D10</f>
        <v>2250</v>
      </c>
      <c r="D6" s="628">
        <f>'OPEX - Pond'!E10</f>
        <v>0</v>
      </c>
      <c r="E6" s="628">
        <f>'OPEX - Pond'!F10</f>
        <v>0</v>
      </c>
      <c r="F6" s="628">
        <f>'OPEX - Pond'!G10</f>
        <v>0</v>
      </c>
      <c r="G6" s="628">
        <f>'OPEX - Pond'!H10</f>
        <v>0</v>
      </c>
      <c r="H6" s="628">
        <f>'OPEX - Pond'!I10</f>
        <v>0</v>
      </c>
      <c r="I6" s="629">
        <f>IF(Interface!$E$19=Validation!$D$38,C6,IF(Interface!$E$19=Validation!$D$39,SUM(C6:D6),IF(Interface!$E$19=Validation!$D$40,SUM(C6:E6),IF(Interface!$E$19=Validation!$D$41,SUM(C6:F6),IF(Interface!$E$19=Validation!$D$42,SUM(C6:G6),IF(Interface!$E$19=Validation!$D$43,SUM(C6:H6),))))))</f>
        <v>2250</v>
      </c>
    </row>
    <row r="7" spans="1:24">
      <c r="B7" s="559" t="str">
        <f>'OPEX - Pond'!B11</f>
        <v>Feed</v>
      </c>
      <c r="C7" s="628" t="e">
        <f>'OPEX - Pond'!D11</f>
        <v>#VALUE!</v>
      </c>
      <c r="D7" s="628" t="e">
        <f>'OPEX - Pond'!E11</f>
        <v>#VALUE!</v>
      </c>
      <c r="E7" s="628" t="e">
        <f>'OPEX - Pond'!F11</f>
        <v>#VALUE!</v>
      </c>
      <c r="F7" s="628" t="e">
        <f>'OPEX - Pond'!G11</f>
        <v>#VALUE!</v>
      </c>
      <c r="G7" s="628" t="e">
        <f>'OPEX - Pond'!H11</f>
        <v>#VALUE!</v>
      </c>
      <c r="H7" s="628" t="e">
        <f>'OPEX - Pond'!I11</f>
        <v>#VALUE!</v>
      </c>
      <c r="I7" s="629" t="e">
        <f>IF(Interface!$E$19=Validation!$D$38,C7,IF(Interface!$E$19=Validation!$D$39,SUM(C7:D7),IF(Interface!$E$19=Validation!$D$40,SUM(C7:E7),IF(Interface!$E$19=Validation!$D$41,SUM(C7:F7),IF(Interface!$E$19=Validation!$D$42,SUM(C7:G7),IF(Interface!$E$19=Validation!$D$43,SUM(C7:H7),))))))</f>
        <v>#VALUE!</v>
      </c>
    </row>
    <row r="8" spans="1:24">
      <c r="B8" s="559" t="s">
        <v>480</v>
      </c>
      <c r="C8" s="628">
        <f>'OPEX - Pond'!D12</f>
        <v>0</v>
      </c>
      <c r="D8" s="628">
        <f>'OPEX - Pond'!E12</f>
        <v>0</v>
      </c>
      <c r="E8" s="628">
        <f>'OPEX - Pond'!F12</f>
        <v>0</v>
      </c>
      <c r="F8" s="628">
        <f>'OPEX - Pond'!G12</f>
        <v>0</v>
      </c>
      <c r="G8" s="628" t="e">
        <f>'OPEX - Pond'!H12</f>
        <v>#VALUE!</v>
      </c>
      <c r="H8" s="628" t="e">
        <f>'OPEX - Pond'!I12</f>
        <v>#VALUE!</v>
      </c>
      <c r="I8" s="629" t="e">
        <f>IF(Interface!$E$19=Validation!$D$38,C8,IF(Interface!$E$19=Validation!$D$39,SUM(C8:D8),IF(Interface!$E$19=Validation!$D$40,SUM(C8:E8),IF(Interface!$E$19=Validation!$D$41,SUM(C8:F8),IF(Interface!$E$19=Validation!$D$42,SUM(C8:G8),IF(Interface!$E$19=Validation!$D$43,SUM(C8:H8),))))))</f>
        <v>#VALUE!</v>
      </c>
    </row>
    <row r="9" spans="1:24">
      <c r="B9" s="559" t="str">
        <f>'OPEX - Pond'!B13</f>
        <v>Consumables</v>
      </c>
      <c r="C9" s="628" t="e">
        <f>'OPEX - Pond'!D13</f>
        <v>#VALUE!</v>
      </c>
      <c r="D9" s="628" t="e">
        <f>'OPEX - Pond'!E13</f>
        <v>#VALUE!</v>
      </c>
      <c r="E9" s="628" t="e">
        <f>'OPEX - Pond'!F13</f>
        <v>#VALUE!</v>
      </c>
      <c r="F9" s="628" t="e">
        <f>'OPEX - Pond'!G13</f>
        <v>#VALUE!</v>
      </c>
      <c r="G9" s="628" t="e">
        <f>'OPEX - Pond'!H13</f>
        <v>#VALUE!</v>
      </c>
      <c r="H9" s="628" t="e">
        <f>'OPEX - Pond'!I13</f>
        <v>#VALUE!</v>
      </c>
      <c r="I9" s="629" t="e">
        <f>IF(Interface!$E$19=Validation!$D$38,C9,IF(Interface!$E$19=Validation!$D$39,SUM(C9:D9),IF(Interface!$E$19=Validation!$D$40,SUM(C9:E9),IF(Interface!$E$19=Validation!$D$41,SUM(C9:F9),IF(Interface!$E$19=Validation!$D$42,SUM(C9:G9),IF(Interface!$E$19=Validation!$D$43,SUM(C9:H9),))))))</f>
        <v>#VALUE!</v>
      </c>
    </row>
    <row r="10" spans="1:24">
      <c r="B10" s="559" t="str">
        <f>'OPEX - Pond'!B14</f>
        <v>Chemicals</v>
      </c>
      <c r="C10" s="628" t="e">
        <f>'OPEX - Pond'!D14</f>
        <v>#VALUE!</v>
      </c>
      <c r="D10" s="628" t="e">
        <f>'OPEX - Pond'!E14</f>
        <v>#VALUE!</v>
      </c>
      <c r="E10" s="628" t="e">
        <f>'OPEX - Pond'!F14</f>
        <v>#VALUE!</v>
      </c>
      <c r="F10" s="628" t="e">
        <f>'OPEX - Pond'!G14</f>
        <v>#VALUE!</v>
      </c>
      <c r="G10" s="628" t="e">
        <f>'OPEX - Pond'!H14</f>
        <v>#VALUE!</v>
      </c>
      <c r="H10" s="628" t="e">
        <f>'OPEX - Pond'!I14</f>
        <v>#VALUE!</v>
      </c>
      <c r="I10" s="629" t="e">
        <f>IF(Interface!$E$19=Validation!$D$38,C10,IF(Interface!$E$19=Validation!$D$39,SUM(C10:D10),IF(Interface!$E$19=Validation!$D$40,SUM(C10:E10),IF(Interface!$E$19=Validation!$D$41,SUM(C10:F10),IF(Interface!$E$19=Validation!$D$42,SUM(C10:G10),IF(Interface!$E$19=Validation!$D$43,SUM(C10:H10),))))))</f>
        <v>#VALUE!</v>
      </c>
    </row>
    <row r="11" spans="1:24" ht="13.5" thickBot="1">
      <c r="B11" s="559" t="str">
        <f>'OPEX - Pond'!B15</f>
        <v>Packaging</v>
      </c>
      <c r="C11" s="628">
        <f>'OPEX - Pond'!D15</f>
        <v>0</v>
      </c>
      <c r="D11" s="628">
        <f>'OPEX - Pond'!E15</f>
        <v>0</v>
      </c>
      <c r="E11" s="628">
        <f>'OPEX - Pond'!F15</f>
        <v>0</v>
      </c>
      <c r="F11" s="628">
        <f>'OPEX - Pond'!G15</f>
        <v>0</v>
      </c>
      <c r="G11" s="628">
        <f>'OPEX - Pond'!H15</f>
        <v>0</v>
      </c>
      <c r="H11" s="628" t="e">
        <f>'OPEX - Pond'!I15</f>
        <v>#VALUE!</v>
      </c>
      <c r="I11" s="629">
        <f>IF(Interface!$E$19=Validation!$D$38,C11,IF(Interface!$E$19=Validation!$D$39,SUM(C11:D11),IF(Interface!$E$19=Validation!$D$40,SUM(C11:E11),IF(Interface!$E$19=Validation!$D$41,SUM(C11:F11),IF(Interface!$E$19=Validation!$D$42,SUM(C11:G11),IF(Interface!$E$19=Validation!$D$43,SUM(C11:H11),))))))</f>
        <v>0</v>
      </c>
    </row>
    <row r="12" spans="1:24" ht="13.5" thickBot="1">
      <c r="B12" s="561" t="s">
        <v>150</v>
      </c>
      <c r="C12" s="630" t="e">
        <f t="shared" ref="C12:I12" si="0">SUM(C6:C8)</f>
        <v>#VALUE!</v>
      </c>
      <c r="D12" s="630" t="e">
        <f t="shared" si="0"/>
        <v>#VALUE!</v>
      </c>
      <c r="E12" s="630" t="e">
        <f t="shared" si="0"/>
        <v>#VALUE!</v>
      </c>
      <c r="F12" s="630" t="e">
        <f t="shared" si="0"/>
        <v>#VALUE!</v>
      </c>
      <c r="G12" s="630" t="e">
        <f t="shared" si="0"/>
        <v>#VALUE!</v>
      </c>
      <c r="H12" s="630" t="e">
        <f t="shared" si="0"/>
        <v>#VALUE!</v>
      </c>
      <c r="I12" s="631" t="e">
        <f t="shared" si="0"/>
        <v>#VALUE!</v>
      </c>
    </row>
    <row r="13" spans="1:24" s="468" customFormat="1" ht="13.5" thickBot="1">
      <c r="C13" s="628"/>
      <c r="D13" s="628"/>
      <c r="E13" s="628"/>
      <c r="F13" s="628"/>
      <c r="G13" s="628"/>
      <c r="H13" s="628"/>
      <c r="I13" s="628"/>
    </row>
    <row r="14" spans="1:24" ht="13.5" thickBot="1">
      <c r="B14" s="637" t="s">
        <v>151</v>
      </c>
      <c r="C14" s="645"/>
      <c r="D14" s="645"/>
      <c r="E14" s="645"/>
      <c r="F14" s="645"/>
      <c r="G14" s="645"/>
      <c r="H14" s="645"/>
      <c r="I14" s="646"/>
    </row>
    <row r="15" spans="1:24">
      <c r="B15" s="559" t="str">
        <f>'OPEX - Pond'!B19</f>
        <v>Salaries - Staff</v>
      </c>
      <c r="C15" s="628" t="e">
        <f>'OPEX - Pond'!D19</f>
        <v>#VALUE!</v>
      </c>
      <c r="D15" s="628" t="e">
        <f>'OPEX - Pond'!E19</f>
        <v>#VALUE!</v>
      </c>
      <c r="E15" s="628" t="e">
        <f>'OPEX - Pond'!F19</f>
        <v>#VALUE!</v>
      </c>
      <c r="F15" s="628" t="e">
        <f>'OPEX - Pond'!G19</f>
        <v>#VALUE!</v>
      </c>
      <c r="G15" s="628" t="e">
        <f>'OPEX - Pond'!H19</f>
        <v>#VALUE!</v>
      </c>
      <c r="H15" s="628" t="e">
        <f>'OPEX - Pond'!I19</f>
        <v>#VALUE!</v>
      </c>
      <c r="I15" s="629" t="e">
        <f>IF(Interface!$E$19=Validation!$D$38,C15,IF(Interface!$E$19=Validation!$D$39,SUM(C15:D15),IF(Interface!$E$19=Validation!$D$40,SUM(C15:E15),IF(Interface!$E$19=Validation!$D$41,SUM(C15:F15),IF(Interface!$E$19=Validation!$D$42,SUM(C15:G15),IF(Interface!$E$19=Validation!$D$43,SUM(C15:H15),))))))</f>
        <v>#VALUE!</v>
      </c>
    </row>
    <row r="16" spans="1:24">
      <c r="B16" s="559" t="str">
        <f>'OPEX - Pond'!B20</f>
        <v>Telephone Expenses</v>
      </c>
      <c r="C16" s="628">
        <f>'OPEX - Pond'!D20</f>
        <v>800</v>
      </c>
      <c r="D16" s="628">
        <f>'OPEX - Pond'!E20</f>
        <v>800</v>
      </c>
      <c r="E16" s="628">
        <f>'OPEX - Pond'!F20</f>
        <v>800</v>
      </c>
      <c r="F16" s="628">
        <f>'OPEX - Pond'!G20</f>
        <v>800</v>
      </c>
      <c r="G16" s="628">
        <f>'OPEX - Pond'!H20</f>
        <v>800</v>
      </c>
      <c r="H16" s="628">
        <f>'OPEX - Pond'!I20</f>
        <v>800</v>
      </c>
      <c r="I16" s="629">
        <f>IF(Interface!$E$19=Validation!$D$38,C16,IF(Interface!$E$19=Validation!$D$39,SUM(C16:D16),IF(Interface!$E$19=Validation!$D$40,SUM(C16:E16),IF(Interface!$E$19=Validation!$D$41,SUM(C16:F16),IF(Interface!$E$19=Validation!$D$42,SUM(C16:G16),IF(Interface!$E$19=Validation!$D$43,SUM(C16:H16),))))))</f>
        <v>4000</v>
      </c>
    </row>
    <row r="17" spans="2:9">
      <c r="B17" s="559" t="str">
        <f>'OPEX - Pond'!B21</f>
        <v>Security (specific to facility)</v>
      </c>
      <c r="C17" s="628" t="e">
        <f>'OPEX - Pond'!D21</f>
        <v>#VALUE!</v>
      </c>
      <c r="D17" s="628" t="e">
        <f>'OPEX - Pond'!E21</f>
        <v>#VALUE!</v>
      </c>
      <c r="E17" s="628" t="e">
        <f>'OPEX - Pond'!F21</f>
        <v>#VALUE!</v>
      </c>
      <c r="F17" s="628" t="e">
        <f>'OPEX - Pond'!G21</f>
        <v>#VALUE!</v>
      </c>
      <c r="G17" s="628" t="e">
        <f>'OPEX - Pond'!H21</f>
        <v>#VALUE!</v>
      </c>
      <c r="H17" s="628" t="e">
        <f>'OPEX - Pond'!I21</f>
        <v>#VALUE!</v>
      </c>
      <c r="I17" s="629" t="e">
        <f>IF(Interface!$E$19=Validation!$D$38,C17,IF(Interface!$E$19=Validation!$D$39,SUM(C17:D17),IF(Interface!$E$19=Validation!$D$40,SUM(C17:E17),IF(Interface!$E$19=Validation!$D$41,SUM(C17:F17),IF(Interface!$E$19=Validation!$D$42,SUM(C17:G17),IF(Interface!$E$19=Validation!$D$43,SUM(C17:H17),))))))</f>
        <v>#VALUE!</v>
      </c>
    </row>
    <row r="18" spans="2:9">
      <c r="B18" s="559" t="str">
        <f>'OPEX - Pond'!B22</f>
        <v>Electricity</v>
      </c>
      <c r="C18" s="628" t="e">
        <f>'OPEX - Pond'!D22</f>
        <v>#VALUE!</v>
      </c>
      <c r="D18" s="628" t="e">
        <f>'OPEX - Pond'!E22</f>
        <v>#VALUE!</v>
      </c>
      <c r="E18" s="628" t="e">
        <f>'OPEX - Pond'!F22</f>
        <v>#VALUE!</v>
      </c>
      <c r="F18" s="628" t="e">
        <f>'OPEX - Pond'!G22</f>
        <v>#VALUE!</v>
      </c>
      <c r="G18" s="628" t="e">
        <f>'OPEX - Pond'!H22</f>
        <v>#VALUE!</v>
      </c>
      <c r="H18" s="628" t="e">
        <f>'OPEX - Pond'!I22</f>
        <v>#VALUE!</v>
      </c>
      <c r="I18" s="629" t="e">
        <f>IF(Interface!$E$19=Validation!$D$38,C18,IF(Interface!$E$19=Validation!$D$39,SUM(C18:D18),IF(Interface!$E$19=Validation!$D$40,SUM(C18:E18),IF(Interface!$E$19=Validation!$D$41,SUM(C18:F18),IF(Interface!$E$19=Validation!$D$42,SUM(C18:G18),IF(Interface!$E$19=Validation!$D$43,SUM(C18:H18),))))))</f>
        <v>#VALUE!</v>
      </c>
    </row>
    <row r="19" spans="2:9">
      <c r="B19" s="559" t="str">
        <f>'OPEX - Pond'!B23</f>
        <v>Health and safety apparel</v>
      </c>
      <c r="C19" s="628" t="e">
        <f>'OPEX - Pond'!D23</f>
        <v>#VALUE!</v>
      </c>
      <c r="D19" s="628">
        <f>'OPEX - Pond'!E23</f>
        <v>0</v>
      </c>
      <c r="E19" s="628">
        <f>'OPEX - Pond'!F23</f>
        <v>0</v>
      </c>
      <c r="F19" s="628">
        <f>'OPEX - Pond'!G23</f>
        <v>0</v>
      </c>
      <c r="G19" s="628">
        <f>'OPEX - Pond'!H23</f>
        <v>0</v>
      </c>
      <c r="H19" s="628">
        <f>'OPEX - Pond'!I23</f>
        <v>0</v>
      </c>
      <c r="I19" s="629" t="e">
        <f>IF(Interface!$E$19=Validation!$D$38,C19,IF(Interface!$E$19=Validation!$D$39,SUM(C19:D19),IF(Interface!$E$19=Validation!$D$40,SUM(C19:E19),IF(Interface!$E$19=Validation!$D$41,SUM(C19:F19),IF(Interface!$E$19=Validation!$D$42,SUM(C19:G19),IF(Interface!$E$19=Validation!$D$43,SUM(C19:H19),))))))</f>
        <v>#VALUE!</v>
      </c>
    </row>
    <row r="20" spans="2:9">
      <c r="B20" s="559" t="str">
        <f>'OPEX - Pond'!B24</f>
        <v>stationary</v>
      </c>
      <c r="C20" s="628">
        <f>'OPEX - Pond'!D24</f>
        <v>100</v>
      </c>
      <c r="D20" s="628">
        <f>'OPEX - Pond'!E24</f>
        <v>100</v>
      </c>
      <c r="E20" s="628">
        <f>'OPEX - Pond'!F24</f>
        <v>100</v>
      </c>
      <c r="F20" s="628">
        <f>'OPEX - Pond'!G24</f>
        <v>100</v>
      </c>
      <c r="G20" s="628">
        <f>'OPEX - Pond'!H24</f>
        <v>100</v>
      </c>
      <c r="H20" s="628">
        <f>'OPEX - Pond'!I24</f>
        <v>100</v>
      </c>
      <c r="I20" s="629">
        <f>IF(Interface!$E$19=Validation!$D$38,C20,IF(Interface!$E$19=Validation!$D$39,SUM(C20:D20),IF(Interface!$E$19=Validation!$D$40,SUM(C20:E20),IF(Interface!$E$19=Validation!$D$41,SUM(C20:F20),IF(Interface!$E$19=Validation!$D$42,SUM(C20:G20),IF(Interface!$E$19=Validation!$D$43,SUM(C20:H20),))))))</f>
        <v>500</v>
      </c>
    </row>
    <row r="21" spans="2:9">
      <c r="B21" s="559" t="str">
        <f>'OPEX - Pond'!B25</f>
        <v>Cleaning materials</v>
      </c>
      <c r="C21" s="628">
        <f>'OPEX - Pond'!D25</f>
        <v>500</v>
      </c>
      <c r="D21" s="628">
        <f>'OPEX - Pond'!E25</f>
        <v>500</v>
      </c>
      <c r="E21" s="628">
        <f>'OPEX - Pond'!F25</f>
        <v>500</v>
      </c>
      <c r="F21" s="628">
        <f>'OPEX - Pond'!G25</f>
        <v>500</v>
      </c>
      <c r="G21" s="628">
        <f>'OPEX - Pond'!H25</f>
        <v>500</v>
      </c>
      <c r="H21" s="628">
        <f>'OPEX - Pond'!I25</f>
        <v>500</v>
      </c>
      <c r="I21" s="629">
        <f>IF(Interface!$E$19=Validation!$D$38,C21,IF(Interface!$E$19=Validation!$D$39,SUM(C21:D21),IF(Interface!$E$19=Validation!$D$40,SUM(C21:E21),IF(Interface!$E$19=Validation!$D$41,SUM(C21:F21),IF(Interface!$E$19=Validation!$D$42,SUM(C21:G21),IF(Interface!$E$19=Validation!$D$43,SUM(C21:H21),))))))</f>
        <v>2500</v>
      </c>
    </row>
    <row r="22" spans="2:9">
      <c r="B22" s="559" t="str">
        <f>'OPEX - Pond'!B26</f>
        <v>Vet Services</v>
      </c>
      <c r="C22" s="628">
        <f>'OPEX - Pond'!D26</f>
        <v>1950</v>
      </c>
      <c r="D22" s="628">
        <f>'OPEX - Pond'!E26</f>
        <v>0</v>
      </c>
      <c r="E22" s="628">
        <f>'OPEX - Pond'!F26</f>
        <v>0</v>
      </c>
      <c r="F22" s="628">
        <f>'OPEX - Pond'!G26</f>
        <v>1950</v>
      </c>
      <c r="G22" s="628">
        <f>'OPEX - Pond'!H26</f>
        <v>0</v>
      </c>
      <c r="H22" s="628">
        <f>'OPEX - Pond'!I26</f>
        <v>0</v>
      </c>
      <c r="I22" s="629">
        <f>IF(Interface!$E$19=Validation!$D$38,C22,IF(Interface!$E$19=Validation!$D$39,SUM(C22:D22),IF(Interface!$E$19=Validation!$D$40,SUM(C22:E22),IF(Interface!$E$19=Validation!$D$41,SUM(C22:F22),IF(Interface!$E$19=Validation!$D$42,SUM(C22:G22),IF(Interface!$E$19=Validation!$D$43,SUM(C22:H22),))))))</f>
        <v>3900</v>
      </c>
    </row>
    <row r="23" spans="2:9">
      <c r="B23" s="559" t="str">
        <f>'OPEX - Pond'!B27</f>
        <v>Bank Charges</v>
      </c>
      <c r="C23" s="628">
        <f>'OPEX - Pond'!D27</f>
        <v>60</v>
      </c>
      <c r="D23" s="628">
        <f>'OPEX - Pond'!E27</f>
        <v>60</v>
      </c>
      <c r="E23" s="628">
        <f>'OPEX - Pond'!F27</f>
        <v>60</v>
      </c>
      <c r="F23" s="628">
        <f>'OPEX - Pond'!G27</f>
        <v>60</v>
      </c>
      <c r="G23" s="628">
        <f>'OPEX - Pond'!H27</f>
        <v>60</v>
      </c>
      <c r="H23" s="628" t="e">
        <f>'OPEX - Pond'!I27</f>
        <v>#VALUE!</v>
      </c>
      <c r="I23" s="629">
        <f>IF(Interface!$E$19=Validation!$D$38,C23,IF(Interface!$E$19=Validation!$D$39,SUM(C23:D23),IF(Interface!$E$19=Validation!$D$40,SUM(C23:E23),IF(Interface!$E$19=Validation!$D$41,SUM(C23:F23),IF(Interface!$E$19=Validation!$D$42,SUM(C23:G23),IF(Interface!$E$19=Validation!$D$43,SUM(C23:H23),))))))</f>
        <v>300</v>
      </c>
    </row>
    <row r="24" spans="2:9">
      <c r="B24" s="559" t="str">
        <f>'OPEX - Pond'!B28</f>
        <v>Marketing</v>
      </c>
      <c r="C24" s="628" t="e">
        <f>'OPEX - Pond'!D28</f>
        <v>#VALUE!</v>
      </c>
      <c r="D24" s="628" t="e">
        <f>'OPEX - Pond'!E28</f>
        <v>#VALUE!</v>
      </c>
      <c r="E24" s="628" t="e">
        <f>'OPEX - Pond'!F28</f>
        <v>#VALUE!</v>
      </c>
      <c r="F24" s="628" t="e">
        <f>'OPEX - Pond'!G28</f>
        <v>#VALUE!</v>
      </c>
      <c r="G24" s="628" t="e">
        <f>'OPEX - Pond'!H28</f>
        <v>#VALUE!</v>
      </c>
      <c r="H24" s="628" t="e">
        <f>'OPEX - Pond'!I28</f>
        <v>#VALUE!</v>
      </c>
      <c r="I24" s="629" t="e">
        <f>IF(Interface!$E$19=Validation!$D$38,C24,IF(Interface!$E$19=Validation!$D$39,SUM(C24:D24),IF(Interface!$E$19=Validation!$D$40,SUM(C24:E24),IF(Interface!$E$19=Validation!$D$41,SUM(C24:F24),IF(Interface!$E$19=Validation!$D$42,SUM(C24:G24),IF(Interface!$E$19=Validation!$D$43,SUM(C24:H24),))))))</f>
        <v>#VALUE!</v>
      </c>
    </row>
    <row r="25" spans="2:9" ht="13.5" thickBot="1">
      <c r="B25" s="559" t="str">
        <f>'OPEX - Pond'!B29</f>
        <v>Reserve &amp; Unforeseen Cost</v>
      </c>
      <c r="C25" s="628" t="e">
        <f>'OPEX - Pond'!D29</f>
        <v>#VALUE!</v>
      </c>
      <c r="D25" s="628" t="e">
        <f>'OPEX - Pond'!E29</f>
        <v>#VALUE!</v>
      </c>
      <c r="E25" s="628" t="e">
        <f>'OPEX - Pond'!F29</f>
        <v>#VALUE!</v>
      </c>
      <c r="F25" s="628" t="e">
        <f>'OPEX - Pond'!G29</f>
        <v>#VALUE!</v>
      </c>
      <c r="G25" s="628" t="e">
        <f>'OPEX - Pond'!H29</f>
        <v>#VALUE!</v>
      </c>
      <c r="H25" s="628" t="e">
        <f>'OPEX - Pond'!I29</f>
        <v>#VALUE!</v>
      </c>
      <c r="I25" s="629" t="e">
        <f>IF(Interface!$E$19=Validation!$D$38,C25,IF(Interface!$E$19=Validation!$D$39,SUM(C25:D25),IF(Interface!$E$19=Validation!$D$40,SUM(C25:E25),IF(Interface!$E$19=Validation!$D$41,SUM(C25:F25),IF(Interface!$E$19=Validation!$D$42,SUM(C25:G25),IF(Interface!$E$19=Validation!$D$43,SUM(C25:H25),))))))</f>
        <v>#VALUE!</v>
      </c>
    </row>
    <row r="26" spans="2:9" ht="13.5" thickBot="1">
      <c r="B26" s="561" t="s">
        <v>161</v>
      </c>
      <c r="C26" s="630" t="e">
        <f t="shared" ref="C26:I26" si="1">SUM(C15:C25)</f>
        <v>#VALUE!</v>
      </c>
      <c r="D26" s="630" t="e">
        <f t="shared" si="1"/>
        <v>#VALUE!</v>
      </c>
      <c r="E26" s="630" t="e">
        <f t="shared" si="1"/>
        <v>#VALUE!</v>
      </c>
      <c r="F26" s="630" t="e">
        <f t="shared" si="1"/>
        <v>#VALUE!</v>
      </c>
      <c r="G26" s="630" t="e">
        <f t="shared" si="1"/>
        <v>#VALUE!</v>
      </c>
      <c r="H26" s="630" t="e">
        <f t="shared" si="1"/>
        <v>#VALUE!</v>
      </c>
      <c r="I26" s="631" t="e">
        <f t="shared" si="1"/>
        <v>#VALUE!</v>
      </c>
    </row>
    <row r="27" spans="2:9" s="468" customFormat="1" ht="13.5" thickBot="1">
      <c r="C27" s="628"/>
      <c r="D27" s="628"/>
      <c r="E27" s="628"/>
      <c r="F27" s="628"/>
      <c r="G27" s="628"/>
      <c r="H27" s="628"/>
      <c r="I27" s="628"/>
    </row>
    <row r="28" spans="2:9" ht="13.5" thickBot="1">
      <c r="B28" s="565" t="s">
        <v>162</v>
      </c>
      <c r="C28" s="647" t="e">
        <f t="shared" ref="C28:I28" si="2">SUM(C26,C12)</f>
        <v>#VALUE!</v>
      </c>
      <c r="D28" s="647" t="e">
        <f t="shared" si="2"/>
        <v>#VALUE!</v>
      </c>
      <c r="E28" s="647" t="e">
        <f t="shared" si="2"/>
        <v>#VALUE!</v>
      </c>
      <c r="F28" s="647" t="e">
        <f t="shared" si="2"/>
        <v>#VALUE!</v>
      </c>
      <c r="G28" s="647" t="e">
        <f t="shared" si="2"/>
        <v>#VALUE!</v>
      </c>
      <c r="H28" s="647" t="e">
        <f t="shared" si="2"/>
        <v>#VALUE!</v>
      </c>
      <c r="I28" s="648" t="e">
        <f t="shared" si="2"/>
        <v>#VALUE!</v>
      </c>
    </row>
    <row r="29" spans="2:9" ht="13.5" thickBot="1"/>
    <row r="30" spans="2:9" ht="13.5" thickBot="1">
      <c r="B30" s="1206" t="s">
        <v>472</v>
      </c>
      <c r="C30" s="1207"/>
    </row>
    <row r="31" spans="2:9" ht="13.5" thickBot="1">
      <c r="B31" s="638" t="s">
        <v>238</v>
      </c>
      <c r="C31" s="624" t="s">
        <v>11</v>
      </c>
    </row>
    <row r="32" spans="2:9">
      <c r="B32" s="639" t="s">
        <v>251</v>
      </c>
      <c r="C32" s="640" t="e">
        <f>I12</f>
        <v>#VALUE!</v>
      </c>
    </row>
    <row r="33" spans="2:3" ht="13.5" thickBot="1">
      <c r="B33" s="639" t="s">
        <v>252</v>
      </c>
      <c r="C33" s="640" t="e">
        <f>I26</f>
        <v>#VALUE!</v>
      </c>
    </row>
    <row r="34" spans="2:3" ht="13.5" thickBot="1">
      <c r="B34" s="641" t="s">
        <v>20</v>
      </c>
      <c r="C34" s="642" t="e">
        <f>SUM(C32:C33)</f>
        <v>#VALUE!</v>
      </c>
    </row>
  </sheetData>
  <mergeCells count="3">
    <mergeCell ref="B30:C30"/>
    <mergeCell ref="B3:B4"/>
    <mergeCell ref="A1:X1"/>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9" id="{AAC5E49B-E431-4E64-A3FB-CAFDACFC88DB}">
            <xm:f>Interface!$E$19=Validation!$D$40</xm:f>
            <x14:dxf>
              <font>
                <color theme="4" tint="-0.499984740745262"/>
              </font>
            </x14:dxf>
          </x14:cfRule>
          <xm:sqref>F6:H11 F15:H25</xm:sqref>
        </x14:conditionalFormatting>
        <x14:conditionalFormatting xmlns:xm="http://schemas.microsoft.com/office/excel/2006/main">
          <x14:cfRule type="expression" priority="8" id="{A140372A-1618-4EC6-9FCA-EF8935E56FA1}">
            <xm:f>Interface!$E$19=Validation!$D$40</xm:f>
            <x14:dxf>
              <font>
                <color rgb="FFC00000"/>
              </font>
            </x14:dxf>
          </x14:cfRule>
          <xm:sqref>F12:H12 F26:H26</xm:sqref>
        </x14:conditionalFormatting>
        <x14:conditionalFormatting xmlns:xm="http://schemas.microsoft.com/office/excel/2006/main">
          <x14:cfRule type="expression" priority="7" id="{E47833B3-4CBE-41B0-BE44-4A8A9BC65BAA}">
            <xm:f>Interface!$E$19=Validation!$D$40</xm:f>
            <x14:dxf>
              <font>
                <color rgb="FF002060"/>
              </font>
            </x14:dxf>
          </x14:cfRule>
          <xm:sqref>F28:H28</xm:sqref>
        </x14:conditionalFormatting>
        <x14:conditionalFormatting xmlns:xm="http://schemas.microsoft.com/office/excel/2006/main">
          <x14:cfRule type="expression" priority="74" id="{A4A02690-5BF5-4085-B89E-3C16C290E226}">
            <xm:f>Interface!$E$19=Validation!#REF!</xm:f>
            <x14:dxf>
              <font>
                <color theme="4" tint="-0.499984740745262"/>
              </font>
            </x14:dxf>
          </x14:cfRule>
          <xm:sqref>D6:H11 D15:H25</xm:sqref>
        </x14:conditionalFormatting>
        <x14:conditionalFormatting xmlns:xm="http://schemas.microsoft.com/office/excel/2006/main">
          <x14:cfRule type="expression" priority="76" id="{8897B22F-2200-473B-AD3E-99040E3CC0C6}">
            <xm:f>Interface!$E$19=Validation!#REF!</xm:f>
            <x14:dxf>
              <font>
                <color rgb="FFC00000"/>
              </font>
            </x14:dxf>
          </x14:cfRule>
          <xm:sqref>D12:H12 D26:H26</xm:sqref>
        </x14:conditionalFormatting>
        <x14:conditionalFormatting xmlns:xm="http://schemas.microsoft.com/office/excel/2006/main">
          <x14:cfRule type="expression" priority="78" id="{210C3A77-24F0-4F64-88B6-B8A9CE5FAC31}">
            <xm:f>Interface!$E$19=Validation!#REF!</xm:f>
            <x14:dxf>
              <font>
                <color rgb="FF002060"/>
              </font>
            </x14:dxf>
          </x14:cfRule>
          <xm:sqref>D28:H28</xm:sqref>
        </x14:conditionalFormatting>
        <x14:conditionalFormatting xmlns:xm="http://schemas.microsoft.com/office/excel/2006/main">
          <x14:cfRule type="expression" priority="79" id="{D0A7B4D2-97F7-4948-945A-CD0245F1FC05}">
            <xm:f>Interface!$E$19=Validation!#REF!</xm:f>
            <x14:dxf>
              <font>
                <color theme="4" tint="-0.499984740745262"/>
              </font>
            </x14:dxf>
          </x14:cfRule>
          <xm:sqref>E6:H11 E15:H25</xm:sqref>
        </x14:conditionalFormatting>
        <x14:conditionalFormatting xmlns:xm="http://schemas.microsoft.com/office/excel/2006/main">
          <x14:cfRule type="expression" priority="81" id="{83FA0AAC-0DA8-4C99-8075-CC6B5A4F0CF2}">
            <xm:f>Interface!$E$19=Validation!#REF!</xm:f>
            <x14:dxf>
              <font>
                <color rgb="FFC00000"/>
              </font>
            </x14:dxf>
          </x14:cfRule>
          <xm:sqref>E12:H12 E26:H26</xm:sqref>
        </x14:conditionalFormatting>
        <x14:conditionalFormatting xmlns:xm="http://schemas.microsoft.com/office/excel/2006/main">
          <x14:cfRule type="expression" priority="83" id="{9C130303-7446-43EB-A58E-A40A80F3178E}">
            <xm:f>Interface!$E$19=Validation!#REF!</xm:f>
            <x14:dxf>
              <font>
                <color rgb="FF002060"/>
              </font>
            </x14:dxf>
          </x14:cfRule>
          <xm:sqref>E28:H28</xm:sqref>
        </x14:conditionalFormatting>
        <x14:conditionalFormatting xmlns:xm="http://schemas.microsoft.com/office/excel/2006/main">
          <x14:cfRule type="expression" priority="104" id="{D0A7B4D2-97F7-4948-945A-CD0245F1FC05}">
            <xm:f>Interface!$E$19=Validation!$D$41</xm:f>
            <x14:dxf>
              <font>
                <color theme="4" tint="-0.499984740745262"/>
              </font>
            </x14:dxf>
          </x14:cfRule>
          <xm:sqref>G6:H11 G15:H25</xm:sqref>
        </x14:conditionalFormatting>
        <x14:conditionalFormatting xmlns:xm="http://schemas.microsoft.com/office/excel/2006/main">
          <x14:cfRule type="expression" priority="106" id="{83FA0AAC-0DA8-4C99-8075-CC6B5A4F0CF2}">
            <xm:f>Interface!$E$19=Validation!$D$41</xm:f>
            <x14:dxf>
              <font>
                <color rgb="FFC00000"/>
              </font>
            </x14:dxf>
          </x14:cfRule>
          <xm:sqref>G26:H26 G12:H12</xm:sqref>
        </x14:conditionalFormatting>
        <x14:conditionalFormatting xmlns:xm="http://schemas.microsoft.com/office/excel/2006/main">
          <x14:cfRule type="expression" priority="108" id="{9C130303-7446-43EB-A58E-A40A80F3178E}">
            <xm:f>Interface!$E$19=Validation!$D$41</xm:f>
            <x14:dxf>
              <font>
                <color rgb="FF002060"/>
              </font>
            </x14:dxf>
          </x14:cfRule>
          <xm:sqref>G28:H28</xm:sqref>
        </x14:conditionalFormatting>
        <x14:conditionalFormatting xmlns:xm="http://schemas.microsoft.com/office/excel/2006/main">
          <x14:cfRule type="expression" priority="109" id="{AAC5E49B-E431-4E64-A3FB-CAFDACFC88DB}">
            <xm:f>Interface!$E$19=Validation!$D$42</xm:f>
            <x14:dxf>
              <font>
                <color theme="4" tint="-0.499984740745262"/>
              </font>
            </x14:dxf>
          </x14:cfRule>
          <xm:sqref>H6:H11 H15:H25</xm:sqref>
        </x14:conditionalFormatting>
        <x14:conditionalFormatting xmlns:xm="http://schemas.microsoft.com/office/excel/2006/main">
          <x14:cfRule type="expression" priority="111" id="{A140372A-1618-4EC6-9FCA-EF8935E56FA1}">
            <xm:f>Interface!$E$19=Validation!$D$42</xm:f>
            <x14:dxf>
              <font>
                <color rgb="FFC00000"/>
              </font>
            </x14:dxf>
          </x14:cfRule>
          <xm:sqref>H12 H26</xm:sqref>
        </x14:conditionalFormatting>
        <x14:conditionalFormatting xmlns:xm="http://schemas.microsoft.com/office/excel/2006/main">
          <x14:cfRule type="expression" priority="113" id="{E47833B3-4CBE-41B0-BE44-4A8A9BC65BAA}">
            <xm:f>Interface!$E$19=Validation!$D$42</xm:f>
            <x14:dxf>
              <font>
                <color rgb="FF002060"/>
              </font>
            </x14:dxf>
          </x14:cfRule>
          <xm:sqref>H28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C2002-857C-4E27-97FB-17803538AEC0}">
  <sheetPr codeName="Sheet22">
    <tabColor theme="5" tint="0.39997558519241921"/>
  </sheetPr>
  <dimension ref="A1:N49"/>
  <sheetViews>
    <sheetView topLeftCell="B1" zoomScale="90" zoomScaleNormal="90" workbookViewId="0">
      <selection activeCell="F10" sqref="F10:M10"/>
    </sheetView>
  </sheetViews>
  <sheetFormatPr defaultColWidth="9.140625" defaultRowHeight="12.75"/>
  <cols>
    <col min="1" max="1" width="6.140625" style="695" customWidth="1"/>
    <col min="2" max="2" width="34.5703125" style="695" customWidth="1"/>
    <col min="3" max="3" width="7.28515625" style="695" customWidth="1"/>
    <col min="4" max="4" width="16.42578125" style="695" bestFit="1" customWidth="1"/>
    <col min="5" max="5" width="16.5703125" style="695" bestFit="1" customWidth="1"/>
    <col min="6" max="13" width="16" style="695" bestFit="1" customWidth="1"/>
    <col min="14" max="14" width="10.28515625" style="695" bestFit="1" customWidth="1"/>
    <col min="15" max="16384" width="9.140625" style="695"/>
  </cols>
  <sheetData>
    <row r="1" spans="1:14" s="1210" customFormat="1" ht="15" customHeight="1">
      <c r="A1" s="1210" t="s">
        <v>440</v>
      </c>
    </row>
    <row r="2" spans="1:14" s="515" customFormat="1" ht="15" customHeight="1" thickBot="1"/>
    <row r="3" spans="1:14" ht="15" customHeight="1" thickBot="1">
      <c r="B3" s="1211" t="s">
        <v>164</v>
      </c>
      <c r="C3" s="1212" t="s">
        <v>165</v>
      </c>
      <c r="D3" s="1212"/>
      <c r="E3" s="1212"/>
      <c r="F3" s="1212"/>
      <c r="G3" s="1212"/>
      <c r="H3" s="1212"/>
      <c r="I3" s="1212"/>
      <c r="J3" s="1212"/>
      <c r="K3" s="1212"/>
      <c r="L3" s="1212"/>
      <c r="M3" s="1212"/>
    </row>
    <row r="4" spans="1:14" ht="13.5" thickBot="1">
      <c r="B4" s="1211"/>
      <c r="C4" s="650" t="s">
        <v>303</v>
      </c>
      <c r="D4" s="651" t="s">
        <v>12</v>
      </c>
      <c r="E4" s="651" t="s">
        <v>13</v>
      </c>
      <c r="F4" s="651" t="s">
        <v>14</v>
      </c>
      <c r="G4" s="651" t="s">
        <v>15</v>
      </c>
      <c r="H4" s="651" t="s">
        <v>16</v>
      </c>
      <c r="I4" s="651" t="s">
        <v>17</v>
      </c>
      <c r="J4" s="651" t="s">
        <v>18</v>
      </c>
      <c r="K4" s="651" t="s">
        <v>21</v>
      </c>
      <c r="L4" s="651" t="s">
        <v>22</v>
      </c>
      <c r="M4" s="651" t="s">
        <v>23</v>
      </c>
      <c r="N4" s="708" t="s">
        <v>278</v>
      </c>
    </row>
    <row r="5" spans="1:14" ht="13.5" thickBot="1">
      <c r="B5" s="875" t="s">
        <v>166</v>
      </c>
      <c r="C5" s="838"/>
      <c r="D5" s="838"/>
      <c r="E5" s="838"/>
      <c r="F5" s="838"/>
      <c r="G5" s="838"/>
      <c r="H5" s="876"/>
      <c r="I5" s="876"/>
      <c r="J5" s="876"/>
      <c r="K5" s="876"/>
      <c r="L5" s="876"/>
      <c r="M5" s="877"/>
    </row>
    <row r="6" spans="1:14" s="515" customFormat="1" ht="13.5" thickBot="1">
      <c r="B6" s="862" t="e">
        <f>'OPEX - Pond'!#REF!</f>
        <v>#REF!</v>
      </c>
      <c r="C6" s="862"/>
      <c r="D6" s="863" t="e">
        <f>'OPEX - Pond'!C6</f>
        <v>#VALUE!</v>
      </c>
      <c r="E6" s="863" t="e">
        <f>'OPEX - Pond'!P6</f>
        <v>#VALUE!</v>
      </c>
      <c r="F6" s="863" t="e">
        <f>'OPEX - Pond'!AC6</f>
        <v>#VALUE!</v>
      </c>
      <c r="G6" s="863" t="e">
        <f>'OPEX - Pond'!AD6</f>
        <v>#VALUE!</v>
      </c>
      <c r="H6" s="863" t="e">
        <f>'OPEX - Pond'!AE6</f>
        <v>#VALUE!</v>
      </c>
      <c r="I6" s="863" t="e">
        <f>'OPEX - Pond'!AF6</f>
        <v>#VALUE!</v>
      </c>
      <c r="J6" s="863" t="e">
        <f>'OPEX - Pond'!AG6</f>
        <v>#VALUE!</v>
      </c>
      <c r="K6" s="863" t="e">
        <f>'OPEX - Pond'!AH6</f>
        <v>#VALUE!</v>
      </c>
      <c r="L6" s="863" t="e">
        <f>'OPEX - Pond'!AI6</f>
        <v>#VALUE!</v>
      </c>
      <c r="M6" s="863" t="e">
        <f>'OPEX - Pond'!AJ6</f>
        <v>#VALUE!</v>
      </c>
    </row>
    <row r="7" spans="1:14" s="515" customFormat="1" ht="13.5" thickBot="1">
      <c r="B7" s="841" t="s">
        <v>167</v>
      </c>
      <c r="C7" s="841"/>
      <c r="D7" s="857" t="e">
        <f t="shared" ref="D7:M7" si="0">SUM(D6:D6)</f>
        <v>#VALUE!</v>
      </c>
      <c r="E7" s="857" t="e">
        <f t="shared" si="0"/>
        <v>#VALUE!</v>
      </c>
      <c r="F7" s="857" t="e">
        <f t="shared" si="0"/>
        <v>#VALUE!</v>
      </c>
      <c r="G7" s="857" t="e">
        <f t="shared" si="0"/>
        <v>#VALUE!</v>
      </c>
      <c r="H7" s="857" t="e">
        <f t="shared" si="0"/>
        <v>#VALUE!</v>
      </c>
      <c r="I7" s="857" t="e">
        <f t="shared" si="0"/>
        <v>#VALUE!</v>
      </c>
      <c r="J7" s="857" t="e">
        <f t="shared" si="0"/>
        <v>#VALUE!</v>
      </c>
      <c r="K7" s="857" t="e">
        <f t="shared" si="0"/>
        <v>#VALUE!</v>
      </c>
      <c r="L7" s="857" t="e">
        <f t="shared" si="0"/>
        <v>#VALUE!</v>
      </c>
      <c r="M7" s="857" t="e">
        <f t="shared" si="0"/>
        <v>#VALUE!</v>
      </c>
    </row>
    <row r="8" spans="1:14" s="570" customFormat="1" ht="13.5" thickBot="1">
      <c r="B8" s="873"/>
      <c r="C8" s="873"/>
      <c r="D8" s="874"/>
      <c r="E8" s="874"/>
      <c r="F8" s="874"/>
      <c r="G8" s="874"/>
      <c r="H8" s="874"/>
      <c r="I8" s="874"/>
      <c r="J8" s="874"/>
      <c r="K8" s="874"/>
      <c r="L8" s="874"/>
      <c r="M8" s="874"/>
    </row>
    <row r="9" spans="1:14" ht="13.5" thickBot="1">
      <c r="B9" s="878" t="s">
        <v>168</v>
      </c>
      <c r="C9" s="842"/>
      <c r="D9" s="843"/>
      <c r="E9" s="843"/>
      <c r="F9" s="843"/>
      <c r="G9" s="879"/>
      <c r="H9" s="879"/>
      <c r="I9" s="879"/>
      <c r="J9" s="879"/>
      <c r="K9" s="879"/>
      <c r="L9" s="879"/>
      <c r="M9" s="880"/>
    </row>
    <row r="10" spans="1:14" s="515" customFormat="1">
      <c r="B10" s="844" t="str">
        <f>'OPEX - Pond'!B10</f>
        <v>Broodstock</v>
      </c>
      <c r="C10" s="844"/>
      <c r="D10" s="861">
        <f>'OPEX - Pond'!C10</f>
        <v>2250</v>
      </c>
      <c r="E10" s="861">
        <f>'OPEX - Pond'!P10</f>
        <v>0</v>
      </c>
      <c r="F10" s="861">
        <f>'OPEX - Pond'!AC10</f>
        <v>0</v>
      </c>
      <c r="G10" s="861">
        <f>'OPEX - Pond'!AD10</f>
        <v>7094.25</v>
      </c>
      <c r="H10" s="861">
        <f>'OPEX - Pond'!AE10</f>
        <v>0</v>
      </c>
      <c r="I10" s="861">
        <f>'OPEX - Pond'!AF10</f>
        <v>0</v>
      </c>
      <c r="J10" s="861">
        <f>'OPEX - Pond'!AG10</f>
        <v>9561.4285722976983</v>
      </c>
      <c r="K10" s="861">
        <f>'OPEX - Pond'!AH10</f>
        <v>0</v>
      </c>
      <c r="L10" s="861">
        <f>'OPEX - Pond'!AI10</f>
        <v>0</v>
      </c>
      <c r="M10" s="861">
        <f>'OPEX - Pond'!AJ10</f>
        <v>14960.538609416404</v>
      </c>
    </row>
    <row r="11" spans="1:14" s="515" customFormat="1">
      <c r="B11" s="845" t="str">
        <f>'OPEX - Pond'!B11</f>
        <v>Feed</v>
      </c>
      <c r="C11" s="845"/>
      <c r="D11" s="864" t="e">
        <f>-'OPEX - Pond'!C11</f>
        <v>#VALUE!</v>
      </c>
      <c r="E11" s="864" t="e">
        <f>-'OPEX - Pond'!P11</f>
        <v>#VALUE!</v>
      </c>
      <c r="F11" s="864" t="e">
        <f>-'OPEX - Pond'!AC11</f>
        <v>#VALUE!</v>
      </c>
      <c r="G11" s="864" t="e">
        <f>-'OPEX - Pond'!AD11</f>
        <v>#VALUE!</v>
      </c>
      <c r="H11" s="864" t="e">
        <f>-'OPEX - Pond'!AE11</f>
        <v>#VALUE!</v>
      </c>
      <c r="I11" s="864" t="e">
        <f>-'OPEX - Pond'!AF11</f>
        <v>#VALUE!</v>
      </c>
      <c r="J11" s="864" t="e">
        <f>-'OPEX - Pond'!AG11</f>
        <v>#VALUE!</v>
      </c>
      <c r="K11" s="864" t="e">
        <f>-'OPEX - Pond'!AH11</f>
        <v>#VALUE!</v>
      </c>
      <c r="L11" s="864" t="e">
        <f>-'OPEX - Pond'!AI11</f>
        <v>#VALUE!</v>
      </c>
      <c r="M11" s="864" t="e">
        <f>-'OPEX - Pond'!AJ11</f>
        <v>#VALUE!</v>
      </c>
    </row>
    <row r="12" spans="1:14" s="515" customFormat="1">
      <c r="B12" s="845" t="s">
        <v>480</v>
      </c>
      <c r="C12" s="845"/>
      <c r="D12" s="864" t="e">
        <f>-'OPEX - Pond'!C12</f>
        <v>#VALUE!</v>
      </c>
      <c r="E12" s="864" t="e">
        <f>-'OPEX - Pond'!P12</f>
        <v>#VALUE!</v>
      </c>
      <c r="F12" s="864" t="e">
        <f>-'OPEX - Pond'!AC12</f>
        <v>#VALUE!</v>
      </c>
      <c r="G12" s="864" t="e">
        <f>-'OPEX - Pond'!AD12</f>
        <v>#VALUE!</v>
      </c>
      <c r="H12" s="864" t="e">
        <f>-'OPEX - Pond'!AE12</f>
        <v>#VALUE!</v>
      </c>
      <c r="I12" s="864" t="e">
        <f>-'OPEX - Pond'!AF12</f>
        <v>#VALUE!</v>
      </c>
      <c r="J12" s="864" t="e">
        <f>-'OPEX - Pond'!AG12</f>
        <v>#VALUE!</v>
      </c>
      <c r="K12" s="864" t="e">
        <f>-'OPEX - Pond'!AH12</f>
        <v>#VALUE!</v>
      </c>
      <c r="L12" s="864" t="e">
        <f>-'OPEX - Pond'!AI12</f>
        <v>#VALUE!</v>
      </c>
      <c r="M12" s="864" t="e">
        <f>-'OPEX - Pond'!AJ12</f>
        <v>#VALUE!</v>
      </c>
    </row>
    <row r="13" spans="1:14" s="515" customFormat="1">
      <c r="B13" s="845" t="str">
        <f>'OPEX - Pond'!B13</f>
        <v>Consumables</v>
      </c>
      <c r="C13" s="845"/>
      <c r="D13" s="864" t="e">
        <f>-'OPEX - Pond'!C13</f>
        <v>#VALUE!</v>
      </c>
      <c r="E13" s="864" t="e">
        <f>-'OPEX - Pond'!P13</f>
        <v>#VALUE!</v>
      </c>
      <c r="F13" s="864" t="e">
        <f>-'OPEX - Pond'!AC13</f>
        <v>#VALUE!</v>
      </c>
      <c r="G13" s="864" t="e">
        <f>-'OPEX - Pond'!AD13</f>
        <v>#VALUE!</v>
      </c>
      <c r="H13" s="864" t="e">
        <f>-'OPEX - Pond'!AE13</f>
        <v>#VALUE!</v>
      </c>
      <c r="I13" s="864" t="e">
        <f>-'OPEX - Pond'!AF13</f>
        <v>#VALUE!</v>
      </c>
      <c r="J13" s="864" t="e">
        <f>-'OPEX - Pond'!AG13</f>
        <v>#VALUE!</v>
      </c>
      <c r="K13" s="864" t="e">
        <f>-'OPEX - Pond'!AH13</f>
        <v>#VALUE!</v>
      </c>
      <c r="L13" s="864" t="e">
        <f>-'OPEX - Pond'!AI13</f>
        <v>#VALUE!</v>
      </c>
      <c r="M13" s="864" t="e">
        <f>-'OPEX - Pond'!AJ13</f>
        <v>#VALUE!</v>
      </c>
    </row>
    <row r="14" spans="1:14" s="515" customFormat="1">
      <c r="B14" s="845" t="str">
        <f>'OPEX - Pond'!B14</f>
        <v>Chemicals</v>
      </c>
      <c r="C14" s="845"/>
      <c r="D14" s="864" t="e">
        <f>-'OPEX - Pond'!C14</f>
        <v>#VALUE!</v>
      </c>
      <c r="E14" s="864" t="e">
        <f>-'OPEX - Pond'!P14</f>
        <v>#VALUE!</v>
      </c>
      <c r="F14" s="864" t="e">
        <f>-'OPEX - Pond'!AC14</f>
        <v>#VALUE!</v>
      </c>
      <c r="G14" s="864" t="e">
        <f>-'OPEX - Pond'!AD14</f>
        <v>#VALUE!</v>
      </c>
      <c r="H14" s="864" t="e">
        <f>-'OPEX - Pond'!AE14</f>
        <v>#VALUE!</v>
      </c>
      <c r="I14" s="864" t="e">
        <f>-'OPEX - Pond'!AF14</f>
        <v>#VALUE!</v>
      </c>
      <c r="J14" s="864" t="e">
        <f>-'OPEX - Pond'!AG14</f>
        <v>#VALUE!</v>
      </c>
      <c r="K14" s="864" t="e">
        <f>-'OPEX - Pond'!AH14</f>
        <v>#VALUE!</v>
      </c>
      <c r="L14" s="864" t="e">
        <f>-'OPEX - Pond'!AI14</f>
        <v>#VALUE!</v>
      </c>
      <c r="M14" s="864" t="e">
        <f>-'OPEX - Pond'!AJ14</f>
        <v>#VALUE!</v>
      </c>
    </row>
    <row r="15" spans="1:14" s="515" customFormat="1" ht="13.5" thickBot="1">
      <c r="B15" s="845" t="str">
        <f>'OPEX - Pond'!B15</f>
        <v>Packaging</v>
      </c>
      <c r="C15" s="845"/>
      <c r="D15" s="864" t="e">
        <f>-'OPEX - Pond'!C15</f>
        <v>#VALUE!</v>
      </c>
      <c r="E15" s="864" t="e">
        <f>-'OPEX - Pond'!P15</f>
        <v>#VALUE!</v>
      </c>
      <c r="F15" s="864" t="e">
        <f>-'OPEX - Pond'!AC15</f>
        <v>#VALUE!</v>
      </c>
      <c r="G15" s="864" t="e">
        <f>-'OPEX - Pond'!AD15</f>
        <v>#VALUE!</v>
      </c>
      <c r="H15" s="864" t="e">
        <f>-'OPEX - Pond'!AE15</f>
        <v>#VALUE!</v>
      </c>
      <c r="I15" s="864" t="e">
        <f>-'OPEX - Pond'!AF15</f>
        <v>#VALUE!</v>
      </c>
      <c r="J15" s="864" t="e">
        <f>-'OPEX - Pond'!AG15</f>
        <v>#VALUE!</v>
      </c>
      <c r="K15" s="864" t="e">
        <f>-'OPEX - Pond'!AH15</f>
        <v>#VALUE!</v>
      </c>
      <c r="L15" s="864" t="e">
        <f>-'OPEX - Pond'!AI15</f>
        <v>#VALUE!</v>
      </c>
      <c r="M15" s="864" t="e">
        <f>-'OPEX - Pond'!AJ15</f>
        <v>#VALUE!</v>
      </c>
    </row>
    <row r="16" spans="1:14" s="515" customFormat="1" ht="13.5" thickBot="1">
      <c r="B16" s="841" t="s">
        <v>169</v>
      </c>
      <c r="C16" s="841"/>
      <c r="D16" s="857" t="e">
        <f t="shared" ref="D16:M16" si="1">SUM(D10:D12)</f>
        <v>#VALUE!</v>
      </c>
      <c r="E16" s="857" t="e">
        <f t="shared" si="1"/>
        <v>#VALUE!</v>
      </c>
      <c r="F16" s="857" t="e">
        <f t="shared" si="1"/>
        <v>#VALUE!</v>
      </c>
      <c r="G16" s="857" t="e">
        <f t="shared" si="1"/>
        <v>#VALUE!</v>
      </c>
      <c r="H16" s="857" t="e">
        <f t="shared" si="1"/>
        <v>#VALUE!</v>
      </c>
      <c r="I16" s="857" t="e">
        <f t="shared" si="1"/>
        <v>#VALUE!</v>
      </c>
      <c r="J16" s="857" t="e">
        <f t="shared" si="1"/>
        <v>#VALUE!</v>
      </c>
      <c r="K16" s="857" t="e">
        <f t="shared" si="1"/>
        <v>#VALUE!</v>
      </c>
      <c r="L16" s="857" t="e">
        <f t="shared" si="1"/>
        <v>#VALUE!</v>
      </c>
      <c r="M16" s="857" t="e">
        <f t="shared" si="1"/>
        <v>#VALUE!</v>
      </c>
    </row>
    <row r="17" spans="2:14" s="570" customFormat="1" ht="13.5" thickBot="1">
      <c r="B17" s="873"/>
      <c r="C17" s="873"/>
      <c r="D17" s="874"/>
      <c r="E17" s="874"/>
      <c r="F17" s="874"/>
      <c r="G17" s="874"/>
      <c r="H17" s="874"/>
      <c r="I17" s="874"/>
      <c r="J17" s="874"/>
      <c r="K17" s="874"/>
      <c r="L17" s="874"/>
      <c r="M17" s="874"/>
    </row>
    <row r="18" spans="2:14" s="515" customFormat="1">
      <c r="B18" s="844" t="s">
        <v>170</v>
      </c>
      <c r="C18" s="844"/>
      <c r="D18" s="861" t="e">
        <f t="shared" ref="D18:M18" si="2">D7+D16</f>
        <v>#VALUE!</v>
      </c>
      <c r="E18" s="861" t="e">
        <f t="shared" si="2"/>
        <v>#VALUE!</v>
      </c>
      <c r="F18" s="861" t="e">
        <f t="shared" si="2"/>
        <v>#VALUE!</v>
      </c>
      <c r="G18" s="861" t="e">
        <f t="shared" si="2"/>
        <v>#VALUE!</v>
      </c>
      <c r="H18" s="861" t="e">
        <f t="shared" si="2"/>
        <v>#VALUE!</v>
      </c>
      <c r="I18" s="861" t="e">
        <f t="shared" si="2"/>
        <v>#VALUE!</v>
      </c>
      <c r="J18" s="861" t="e">
        <f t="shared" si="2"/>
        <v>#VALUE!</v>
      </c>
      <c r="K18" s="861" t="e">
        <f t="shared" si="2"/>
        <v>#VALUE!</v>
      </c>
      <c r="L18" s="861" t="e">
        <f t="shared" si="2"/>
        <v>#VALUE!</v>
      </c>
      <c r="M18" s="861" t="e">
        <f t="shared" si="2"/>
        <v>#VALUE!</v>
      </c>
    </row>
    <row r="19" spans="2:14" s="515" customFormat="1" ht="13.5" thickBot="1">
      <c r="B19" s="846" t="s">
        <v>171</v>
      </c>
      <c r="C19" s="846"/>
      <c r="D19" s="866" t="e">
        <f t="shared" ref="D19:M19" si="3">D18/D7</f>
        <v>#VALUE!</v>
      </c>
      <c r="E19" s="866" t="e">
        <f t="shared" si="3"/>
        <v>#VALUE!</v>
      </c>
      <c r="F19" s="866" t="e">
        <f t="shared" si="3"/>
        <v>#VALUE!</v>
      </c>
      <c r="G19" s="866" t="e">
        <f t="shared" si="3"/>
        <v>#VALUE!</v>
      </c>
      <c r="H19" s="866" t="e">
        <f t="shared" si="3"/>
        <v>#VALUE!</v>
      </c>
      <c r="I19" s="866" t="e">
        <f t="shared" si="3"/>
        <v>#VALUE!</v>
      </c>
      <c r="J19" s="866" t="e">
        <f t="shared" si="3"/>
        <v>#VALUE!</v>
      </c>
      <c r="K19" s="866" t="e">
        <f t="shared" si="3"/>
        <v>#VALUE!</v>
      </c>
      <c r="L19" s="866" t="e">
        <f t="shared" si="3"/>
        <v>#VALUE!</v>
      </c>
      <c r="M19" s="866" t="e">
        <f t="shared" si="3"/>
        <v>#VALUE!</v>
      </c>
    </row>
    <row r="20" spans="2:14" s="468" customFormat="1" ht="13.5" thickBot="1">
      <c r="B20" s="839"/>
      <c r="C20" s="839"/>
      <c r="D20" s="840"/>
      <c r="E20" s="872"/>
      <c r="F20" s="872"/>
      <c r="G20" s="872"/>
      <c r="H20" s="872"/>
      <c r="I20" s="872"/>
      <c r="J20" s="872"/>
      <c r="K20" s="872"/>
      <c r="L20" s="872"/>
      <c r="M20" s="872"/>
    </row>
    <row r="21" spans="2:14" s="515" customFormat="1" ht="13.5" thickBot="1">
      <c r="B21" s="881" t="s">
        <v>172</v>
      </c>
      <c r="C21" s="847"/>
      <c r="D21" s="882"/>
      <c r="E21" s="882"/>
      <c r="F21" s="882"/>
      <c r="G21" s="882"/>
      <c r="H21" s="883"/>
      <c r="I21" s="883"/>
      <c r="J21" s="883"/>
      <c r="K21" s="883"/>
      <c r="L21" s="883"/>
      <c r="M21" s="884"/>
    </row>
    <row r="22" spans="2:14" s="515" customFormat="1">
      <c r="B22" s="885" t="s">
        <v>173</v>
      </c>
      <c r="C22" s="885"/>
      <c r="D22" s="886" t="e">
        <f>-SUM(D23:D25)</f>
        <v>#VALUE!</v>
      </c>
      <c r="E22" s="886" t="e">
        <f t="shared" ref="E22:M22" si="4">-SUM(E23:E25)</f>
        <v>#VALUE!</v>
      </c>
      <c r="F22" s="886" t="e">
        <f t="shared" si="4"/>
        <v>#VALUE!</v>
      </c>
      <c r="G22" s="886" t="e">
        <f t="shared" si="4"/>
        <v>#VALUE!</v>
      </c>
      <c r="H22" s="886" t="e">
        <f t="shared" si="4"/>
        <v>#VALUE!</v>
      </c>
      <c r="I22" s="886" t="e">
        <f t="shared" si="4"/>
        <v>#VALUE!</v>
      </c>
      <c r="J22" s="886" t="e">
        <f t="shared" si="4"/>
        <v>#VALUE!</v>
      </c>
      <c r="K22" s="886" t="e">
        <f t="shared" si="4"/>
        <v>#VALUE!</v>
      </c>
      <c r="L22" s="886" t="e">
        <f t="shared" si="4"/>
        <v>#VALUE!</v>
      </c>
      <c r="M22" s="886" t="e">
        <f t="shared" si="4"/>
        <v>#VALUE!</v>
      </c>
    </row>
    <row r="23" spans="2:14" s="515" customFormat="1">
      <c r="B23" s="703" t="str">
        <f>HR!B7</f>
        <v>Skilled Workers</v>
      </c>
      <c r="C23" s="703"/>
      <c r="D23" s="864">
        <f>HR!D23</f>
        <v>0</v>
      </c>
      <c r="E23" s="864">
        <f>HR!AD23</f>
        <v>0</v>
      </c>
      <c r="F23" s="864">
        <f>HR!AF23</f>
        <v>0</v>
      </c>
      <c r="G23" s="864">
        <f>HR!AH23</f>
        <v>0</v>
      </c>
      <c r="H23" s="864">
        <f>HR!AJ23</f>
        <v>0</v>
      </c>
      <c r="I23" s="864">
        <f>HR!AL23</f>
        <v>0</v>
      </c>
      <c r="J23" s="864">
        <f>HR!AN23</f>
        <v>0</v>
      </c>
      <c r="K23" s="864">
        <f>HR!AP23</f>
        <v>0</v>
      </c>
      <c r="L23" s="864">
        <f>HR!AR23</f>
        <v>0</v>
      </c>
      <c r="M23" s="864">
        <f>HR!AT23</f>
        <v>0</v>
      </c>
      <c r="N23" s="848"/>
    </row>
    <row r="24" spans="2:14" s="515" customFormat="1">
      <c r="B24" s="703" t="str">
        <f>HR!B8</f>
        <v>Medium Skilled</v>
      </c>
      <c r="C24" s="703"/>
      <c r="D24" s="864" t="e">
        <f>HR!D24</f>
        <v>#VALUE!</v>
      </c>
      <c r="E24" s="864" t="e">
        <f>HR!AD24</f>
        <v>#VALUE!</v>
      </c>
      <c r="F24" s="864" t="e">
        <f>HR!AF24</f>
        <v>#VALUE!</v>
      </c>
      <c r="G24" s="864" t="e">
        <f>HR!AH24</f>
        <v>#VALUE!</v>
      </c>
      <c r="H24" s="864" t="e">
        <f>HR!AJ24</f>
        <v>#VALUE!</v>
      </c>
      <c r="I24" s="864" t="e">
        <f>HR!AL24</f>
        <v>#VALUE!</v>
      </c>
      <c r="J24" s="864" t="e">
        <f>HR!AN24</f>
        <v>#VALUE!</v>
      </c>
      <c r="K24" s="864" t="e">
        <f>HR!AP24</f>
        <v>#VALUE!</v>
      </c>
      <c r="L24" s="864" t="e">
        <f>HR!AR24</f>
        <v>#VALUE!</v>
      </c>
      <c r="M24" s="864" t="e">
        <f>HR!AT24</f>
        <v>#VALUE!</v>
      </c>
      <c r="N24" s="468"/>
    </row>
    <row r="25" spans="2:14" s="515" customFormat="1">
      <c r="B25" s="703" t="str">
        <f>HR!B9</f>
        <v>Low Skilled</v>
      </c>
      <c r="C25" s="703"/>
      <c r="D25" s="864">
        <f>HR!D25</f>
        <v>60000</v>
      </c>
      <c r="E25" s="864">
        <f>HR!AD25</f>
        <v>63060</v>
      </c>
      <c r="F25" s="864">
        <f>HR!AF25</f>
        <v>66276.06</v>
      </c>
      <c r="G25" s="864">
        <f>HR!AH25</f>
        <v>69656.139060000001</v>
      </c>
      <c r="H25" s="864">
        <f>HR!AJ25</f>
        <v>73208.602152060004</v>
      </c>
      <c r="I25" s="864">
        <f>HR!AL25</f>
        <v>76942.240861815051</v>
      </c>
      <c r="J25" s="864">
        <f>HR!AN25</f>
        <v>80866.295145767624</v>
      </c>
      <c r="K25" s="864">
        <f>HR!AP25</f>
        <v>84990.476198201766</v>
      </c>
      <c r="L25" s="864">
        <f>HR!AR25</f>
        <v>89324.990484310067</v>
      </c>
      <c r="M25" s="864">
        <f>HR!AT25</f>
        <v>93880.564999009875</v>
      </c>
      <c r="N25" s="468"/>
    </row>
    <row r="26" spans="2:14" s="515" customFormat="1">
      <c r="B26" s="887" t="s">
        <v>174</v>
      </c>
      <c r="C26" s="887"/>
      <c r="D26" s="888" t="e">
        <f t="shared" ref="D26:M26" si="5">SUM(D27:D36)</f>
        <v>#VALUE!</v>
      </c>
      <c r="E26" s="888" t="e">
        <f t="shared" si="5"/>
        <v>#VALUE!</v>
      </c>
      <c r="F26" s="888" t="e">
        <f t="shared" si="5"/>
        <v>#VALUE!</v>
      </c>
      <c r="G26" s="888" t="e">
        <f t="shared" si="5"/>
        <v>#VALUE!</v>
      </c>
      <c r="H26" s="888" t="e">
        <f t="shared" si="5"/>
        <v>#VALUE!</v>
      </c>
      <c r="I26" s="888" t="e">
        <f t="shared" si="5"/>
        <v>#VALUE!</v>
      </c>
      <c r="J26" s="888" t="e">
        <f t="shared" si="5"/>
        <v>#VALUE!</v>
      </c>
      <c r="K26" s="888" t="e">
        <f t="shared" si="5"/>
        <v>#VALUE!</v>
      </c>
      <c r="L26" s="888" t="e">
        <f t="shared" si="5"/>
        <v>#VALUE!</v>
      </c>
      <c r="M26" s="888" t="e">
        <f t="shared" si="5"/>
        <v>#VALUE!</v>
      </c>
      <c r="N26" s="468"/>
    </row>
    <row r="27" spans="2:14" s="515" customFormat="1">
      <c r="B27" s="703" t="str">
        <f>'OPEX - Pond'!B20</f>
        <v>Telephone Expenses</v>
      </c>
      <c r="C27" s="703"/>
      <c r="D27" s="864">
        <f>-'OPEX - Pond'!C20</f>
        <v>-9600</v>
      </c>
      <c r="E27" s="864">
        <f>-'OPEX - Pond'!P20</f>
        <v>-10089.599999999999</v>
      </c>
      <c r="F27" s="864">
        <f>-'OPEX - Pond'!AC20</f>
        <v>-10604.169599999997</v>
      </c>
      <c r="G27" s="864">
        <f>-'OPEX - Pond'!AD20</f>
        <v>-11144.9822496</v>
      </c>
      <c r="H27" s="864">
        <f>-'OPEX - Pond'!AE20</f>
        <v>-11713.376344329599</v>
      </c>
      <c r="I27" s="864">
        <f>-'OPEX - Pond'!AF20</f>
        <v>-12310.758537890408</v>
      </c>
      <c r="J27" s="864">
        <f>-'OPEX - Pond'!AG20</f>
        <v>-12938.607223322819</v>
      </c>
      <c r="K27" s="864">
        <f>-'OPEX - Pond'!AH20</f>
        <v>-13598.476191712283</v>
      </c>
      <c r="L27" s="864">
        <f>-'OPEX - Pond'!AI20</f>
        <v>-14291.998477489611</v>
      </c>
      <c r="M27" s="864">
        <f>-'OPEX - Pond'!AJ20</f>
        <v>-15020.890399841581</v>
      </c>
    </row>
    <row r="28" spans="2:14" s="515" customFormat="1">
      <c r="B28" s="703" t="str">
        <f>'OPEX - Pond'!B21</f>
        <v>Security (specific to facility)</v>
      </c>
      <c r="C28" s="703"/>
      <c r="D28" s="864" t="e">
        <f>-'OPEX - Pond'!C21</f>
        <v>#VALUE!</v>
      </c>
      <c r="E28" s="864" t="e">
        <f>-'OPEX - Pond'!P21</f>
        <v>#VALUE!</v>
      </c>
      <c r="F28" s="864" t="e">
        <f>-'OPEX - Pond'!AC21</f>
        <v>#VALUE!</v>
      </c>
      <c r="G28" s="864" t="e">
        <f>-'OPEX - Pond'!AD21</f>
        <v>#VALUE!</v>
      </c>
      <c r="H28" s="864" t="e">
        <f>-'OPEX - Pond'!AE21</f>
        <v>#VALUE!</v>
      </c>
      <c r="I28" s="864" t="e">
        <f>-'OPEX - Pond'!AF21</f>
        <v>#VALUE!</v>
      </c>
      <c r="J28" s="864" t="e">
        <f>-'OPEX - Pond'!AG21</f>
        <v>#VALUE!</v>
      </c>
      <c r="K28" s="864" t="e">
        <f>-'OPEX - Pond'!AH21</f>
        <v>#VALUE!</v>
      </c>
      <c r="L28" s="864" t="e">
        <f>-'OPEX - Pond'!AI21</f>
        <v>#VALUE!</v>
      </c>
      <c r="M28" s="864" t="e">
        <f>-'OPEX - Pond'!AJ21</f>
        <v>#VALUE!</v>
      </c>
    </row>
    <row r="29" spans="2:14" s="515" customFormat="1">
      <c r="B29" s="703" t="str">
        <f>'OPEX - Pond'!B22</f>
        <v>Electricity</v>
      </c>
      <c r="C29" s="703"/>
      <c r="D29" s="864" t="e">
        <f>-'OPEX - Pond'!C22</f>
        <v>#VALUE!</v>
      </c>
      <c r="E29" s="864" t="e">
        <f>-'OPEX - Pond'!P22</f>
        <v>#VALUE!</v>
      </c>
      <c r="F29" s="864" t="e">
        <f>-'OPEX - Pond'!AC22</f>
        <v>#VALUE!</v>
      </c>
      <c r="G29" s="864" t="e">
        <f>-'OPEX - Pond'!AD22</f>
        <v>#VALUE!</v>
      </c>
      <c r="H29" s="864" t="e">
        <f>-'OPEX - Pond'!AE22</f>
        <v>#VALUE!</v>
      </c>
      <c r="I29" s="864" t="e">
        <f>-'OPEX - Pond'!AF22</f>
        <v>#VALUE!</v>
      </c>
      <c r="J29" s="864" t="e">
        <f>-'OPEX - Pond'!AG22</f>
        <v>#VALUE!</v>
      </c>
      <c r="K29" s="864" t="e">
        <f>-'OPEX - Pond'!AH22</f>
        <v>#VALUE!</v>
      </c>
      <c r="L29" s="864" t="e">
        <f>-'OPEX - Pond'!AI22</f>
        <v>#VALUE!</v>
      </c>
      <c r="M29" s="864" t="e">
        <f>-'OPEX - Pond'!AJ22</f>
        <v>#VALUE!</v>
      </c>
    </row>
    <row r="30" spans="2:14" s="515" customFormat="1">
      <c r="B30" s="703" t="str">
        <f>'OPEX - Pond'!B23</f>
        <v>Health and safety apparel</v>
      </c>
      <c r="C30" s="703"/>
      <c r="D30" s="864" t="e">
        <f>-'OPEX - Pond'!C23</f>
        <v>#VALUE!</v>
      </c>
      <c r="E30" s="864" t="e">
        <f>-'OPEX - Pond'!P23</f>
        <v>#VALUE!</v>
      </c>
      <c r="F30" s="864" t="e">
        <f>-'OPEX - Pond'!AC23</f>
        <v>#VALUE!</v>
      </c>
      <c r="G30" s="864" t="e">
        <f>-'OPEX - Pond'!AD23</f>
        <v>#VALUE!</v>
      </c>
      <c r="H30" s="864" t="e">
        <f>-'OPEX - Pond'!AE23</f>
        <v>#VALUE!</v>
      </c>
      <c r="I30" s="864" t="e">
        <f>-'OPEX - Pond'!AF23</f>
        <v>#VALUE!</v>
      </c>
      <c r="J30" s="864" t="e">
        <f>-'OPEX - Pond'!AG23</f>
        <v>#VALUE!</v>
      </c>
      <c r="K30" s="864" t="e">
        <f>-'OPEX - Pond'!AH23</f>
        <v>#VALUE!</v>
      </c>
      <c r="L30" s="864" t="e">
        <f>-'OPEX - Pond'!AI23</f>
        <v>#VALUE!</v>
      </c>
      <c r="M30" s="864" t="e">
        <f>-'OPEX - Pond'!AJ23</f>
        <v>#VALUE!</v>
      </c>
    </row>
    <row r="31" spans="2:14" s="515" customFormat="1">
      <c r="B31" s="703" t="str">
        <f>'OPEX - Pond'!B24</f>
        <v>stationary</v>
      </c>
      <c r="C31" s="703"/>
      <c r="D31" s="864">
        <f>-'OPEX - Pond'!C24</f>
        <v>-1200</v>
      </c>
      <c r="E31" s="864">
        <f>-'OPEX - Pond'!P24</f>
        <v>-1261.1999999999998</v>
      </c>
      <c r="F31" s="864">
        <f>-'OPEX - Pond'!AC24</f>
        <v>-1325.5211999999997</v>
      </c>
      <c r="G31" s="864">
        <f>-'OPEX - Pond'!AD24</f>
        <v>-1393.1227812</v>
      </c>
      <c r="H31" s="864">
        <f>-'OPEX - Pond'!AE24</f>
        <v>-1464.1720430411999</v>
      </c>
      <c r="I31" s="864">
        <f>-'OPEX - Pond'!AF24</f>
        <v>-1538.844817236301</v>
      </c>
      <c r="J31" s="864">
        <f>-'OPEX - Pond'!AG24</f>
        <v>-1617.3259029153523</v>
      </c>
      <c r="K31" s="864">
        <f>-'OPEX - Pond'!AH24</f>
        <v>-1699.8095239640354</v>
      </c>
      <c r="L31" s="864">
        <f>-'OPEX - Pond'!AI24</f>
        <v>-1786.4998096862014</v>
      </c>
      <c r="M31" s="864">
        <f>-'OPEX - Pond'!AJ24</f>
        <v>-1877.6112999801976</v>
      </c>
    </row>
    <row r="32" spans="2:14" s="515" customFormat="1">
      <c r="B32" s="703" t="str">
        <f>'OPEX - Pond'!B25</f>
        <v>Cleaning materials</v>
      </c>
      <c r="C32" s="703"/>
      <c r="D32" s="864">
        <f>-'OPEX - Pond'!C25</f>
        <v>-6000</v>
      </c>
      <c r="E32" s="864">
        <f>-'OPEX - Pond'!P25</f>
        <v>-6306</v>
      </c>
      <c r="F32" s="864">
        <f>-'OPEX - Pond'!AC25</f>
        <v>-6627.6059999999998</v>
      </c>
      <c r="G32" s="864">
        <f>-'OPEX - Pond'!AD25</f>
        <v>-6965.6139060000005</v>
      </c>
      <c r="H32" s="864">
        <f>-'OPEX - Pond'!AE25</f>
        <v>-7320.8602152060002</v>
      </c>
      <c r="I32" s="864">
        <f>-'OPEX - Pond'!AF25</f>
        <v>-7694.2240861815062</v>
      </c>
      <c r="J32" s="864">
        <f>-'OPEX - Pond'!AG25</f>
        <v>-8086.6295145767617</v>
      </c>
      <c r="K32" s="864">
        <f>-'OPEX - Pond'!AH25</f>
        <v>-8499.0476198201759</v>
      </c>
      <c r="L32" s="864">
        <f>-'OPEX - Pond'!AI25</f>
        <v>-8932.4990484310056</v>
      </c>
      <c r="M32" s="864">
        <f>-'OPEX - Pond'!AJ25</f>
        <v>-9388.0564999009875</v>
      </c>
    </row>
    <row r="33" spans="2:14" s="515" customFormat="1">
      <c r="B33" s="703" t="str">
        <f>'OPEX - Pond'!B26</f>
        <v>Vet Services</v>
      </c>
      <c r="C33" s="703"/>
      <c r="D33" s="864">
        <f>-'OPEX - Pond'!C26</f>
        <v>-7800</v>
      </c>
      <c r="E33" s="864">
        <f>-'OPEX - Pond'!P26</f>
        <v>-8197.7999999999993</v>
      </c>
      <c r="F33" s="864">
        <f>-'OPEX - Pond'!AC26</f>
        <v>-8615.8877999999986</v>
      </c>
      <c r="G33" s="864">
        <f>-'OPEX - Pond'!AD26</f>
        <v>-9055.2980777999983</v>
      </c>
      <c r="H33" s="864">
        <f>-'OPEX - Pond'!AE26</f>
        <v>-9517.1182797677993</v>
      </c>
      <c r="I33" s="864">
        <f>-'OPEX - Pond'!AF26</f>
        <v>-10002.491312035956</v>
      </c>
      <c r="J33" s="864">
        <f>-'OPEX - Pond'!AG26</f>
        <v>-10512.61836894979</v>
      </c>
      <c r="K33" s="864">
        <f>-'OPEX - Pond'!AH26</f>
        <v>-11048.761905766229</v>
      </c>
      <c r="L33" s="864">
        <f>-'OPEX - Pond'!AI26</f>
        <v>-11612.248762960307</v>
      </c>
      <c r="M33" s="864">
        <f>-'OPEX - Pond'!AJ26</f>
        <v>-12204.473449871282</v>
      </c>
    </row>
    <row r="34" spans="2:14" s="515" customFormat="1">
      <c r="B34" s="703" t="str">
        <f>'OPEX - Pond'!B27</f>
        <v>Bank Charges</v>
      </c>
      <c r="C34" s="703"/>
      <c r="D34" s="864" t="e">
        <f>-'OPEX - Pond'!C27</f>
        <v>#VALUE!</v>
      </c>
      <c r="E34" s="864" t="e">
        <f>-'OPEX - Pond'!P27</f>
        <v>#VALUE!</v>
      </c>
      <c r="F34" s="864" t="e">
        <f>-'OPEX - Pond'!AC27</f>
        <v>#VALUE!</v>
      </c>
      <c r="G34" s="864" t="e">
        <f>-'OPEX - Pond'!AD27</f>
        <v>#VALUE!</v>
      </c>
      <c r="H34" s="864" t="e">
        <f>-'OPEX - Pond'!AE27</f>
        <v>#VALUE!</v>
      </c>
      <c r="I34" s="864" t="e">
        <f>-'OPEX - Pond'!AF27</f>
        <v>#VALUE!</v>
      </c>
      <c r="J34" s="864" t="e">
        <f>-'OPEX - Pond'!AG27</f>
        <v>#VALUE!</v>
      </c>
      <c r="K34" s="864" t="e">
        <f>-'OPEX - Pond'!AH27</f>
        <v>#VALUE!</v>
      </c>
      <c r="L34" s="864" t="e">
        <f>-'OPEX - Pond'!AI27</f>
        <v>#VALUE!</v>
      </c>
      <c r="M34" s="864" t="e">
        <f>-'OPEX - Pond'!AJ27</f>
        <v>#VALUE!</v>
      </c>
    </row>
    <row r="35" spans="2:14" s="515" customFormat="1">
      <c r="B35" s="703" t="str">
        <f>'OPEX - Pond'!B28</f>
        <v>Marketing</v>
      </c>
      <c r="C35" s="703"/>
      <c r="D35" s="864" t="e">
        <f>-'OPEX - Pond'!C28</f>
        <v>#VALUE!</v>
      </c>
      <c r="E35" s="864" t="e">
        <f>-'OPEX - Pond'!P28</f>
        <v>#VALUE!</v>
      </c>
      <c r="F35" s="864" t="e">
        <f>-'OPEX - Pond'!AC28</f>
        <v>#VALUE!</v>
      </c>
      <c r="G35" s="864" t="e">
        <f>-'OPEX - Pond'!AD28</f>
        <v>#VALUE!</v>
      </c>
      <c r="H35" s="864" t="e">
        <f>-'OPEX - Pond'!AE28</f>
        <v>#VALUE!</v>
      </c>
      <c r="I35" s="864" t="e">
        <f>-'OPEX - Pond'!AF28</f>
        <v>#VALUE!</v>
      </c>
      <c r="J35" s="864" t="e">
        <f>-'OPEX - Pond'!AG28</f>
        <v>#VALUE!</v>
      </c>
      <c r="K35" s="864" t="e">
        <f>-'OPEX - Pond'!AH28</f>
        <v>#VALUE!</v>
      </c>
      <c r="L35" s="864" t="e">
        <f>-'OPEX - Pond'!AI28</f>
        <v>#VALUE!</v>
      </c>
      <c r="M35" s="864" t="e">
        <f>-'OPEX - Pond'!AJ28</f>
        <v>#VALUE!</v>
      </c>
    </row>
    <row r="36" spans="2:14" s="515" customFormat="1" ht="13.5" thickBot="1">
      <c r="B36" s="703" t="str">
        <f>'OPEX - Pond'!B29</f>
        <v>Reserve &amp; Unforeseen Cost</v>
      </c>
      <c r="C36" s="703"/>
      <c r="D36" s="864" t="e">
        <f>-'OPEX - Pond'!C29</f>
        <v>#VALUE!</v>
      </c>
      <c r="E36" s="864" t="e">
        <f>-'OPEX - Pond'!P29</f>
        <v>#VALUE!</v>
      </c>
      <c r="F36" s="864" t="e">
        <f>-'OPEX - Pond'!AC29</f>
        <v>#VALUE!</v>
      </c>
      <c r="G36" s="864" t="e">
        <f>-'OPEX - Pond'!AD29</f>
        <v>#VALUE!</v>
      </c>
      <c r="H36" s="864" t="e">
        <f>-'OPEX - Pond'!AE29</f>
        <v>#VALUE!</v>
      </c>
      <c r="I36" s="864" t="e">
        <f>-'OPEX - Pond'!AF29</f>
        <v>#VALUE!</v>
      </c>
      <c r="J36" s="864" t="e">
        <f>-'OPEX - Pond'!AG29</f>
        <v>#VALUE!</v>
      </c>
      <c r="K36" s="864" t="e">
        <f>-'OPEX - Pond'!AH29</f>
        <v>#VALUE!</v>
      </c>
      <c r="L36" s="864" t="e">
        <f>-'OPEX - Pond'!AI29</f>
        <v>#VALUE!</v>
      </c>
      <c r="M36" s="864" t="e">
        <f>-'OPEX - Pond'!AJ29</f>
        <v>#VALUE!</v>
      </c>
    </row>
    <row r="37" spans="2:14" s="515" customFormat="1" ht="13.5" thickBot="1">
      <c r="B37" s="849" t="s">
        <v>175</v>
      </c>
      <c r="C37" s="849"/>
      <c r="D37" s="857" t="e">
        <f t="shared" ref="D37:M37" si="6">D26+D22</f>
        <v>#VALUE!</v>
      </c>
      <c r="E37" s="857" t="e">
        <f t="shared" si="6"/>
        <v>#VALUE!</v>
      </c>
      <c r="F37" s="857" t="e">
        <f t="shared" si="6"/>
        <v>#VALUE!</v>
      </c>
      <c r="G37" s="857" t="e">
        <f t="shared" si="6"/>
        <v>#VALUE!</v>
      </c>
      <c r="H37" s="857" t="e">
        <f t="shared" si="6"/>
        <v>#VALUE!</v>
      </c>
      <c r="I37" s="857" t="e">
        <f t="shared" si="6"/>
        <v>#VALUE!</v>
      </c>
      <c r="J37" s="857" t="e">
        <f t="shared" si="6"/>
        <v>#VALUE!</v>
      </c>
      <c r="K37" s="857" t="e">
        <f t="shared" si="6"/>
        <v>#VALUE!</v>
      </c>
      <c r="L37" s="857" t="e">
        <f t="shared" si="6"/>
        <v>#VALUE!</v>
      </c>
      <c r="M37" s="857" t="e">
        <f t="shared" si="6"/>
        <v>#VALUE!</v>
      </c>
    </row>
    <row r="38" spans="2:14" s="515" customFormat="1" ht="13.5" thickBot="1">
      <c r="B38" s="850" t="s">
        <v>280</v>
      </c>
      <c r="C38" s="850"/>
      <c r="D38" s="858" t="e">
        <f t="shared" ref="D38:M38" si="7">-(D16+D37)</f>
        <v>#VALUE!</v>
      </c>
      <c r="E38" s="858" t="e">
        <f t="shared" si="7"/>
        <v>#VALUE!</v>
      </c>
      <c r="F38" s="858" t="e">
        <f t="shared" si="7"/>
        <v>#VALUE!</v>
      </c>
      <c r="G38" s="858" t="e">
        <f t="shared" si="7"/>
        <v>#VALUE!</v>
      </c>
      <c r="H38" s="858" t="e">
        <f t="shared" si="7"/>
        <v>#VALUE!</v>
      </c>
      <c r="I38" s="858" t="e">
        <f t="shared" si="7"/>
        <v>#VALUE!</v>
      </c>
      <c r="J38" s="858" t="e">
        <f t="shared" si="7"/>
        <v>#VALUE!</v>
      </c>
      <c r="K38" s="858" t="e">
        <f t="shared" si="7"/>
        <v>#VALUE!</v>
      </c>
      <c r="L38" s="858" t="e">
        <f t="shared" si="7"/>
        <v>#VALUE!</v>
      </c>
      <c r="M38" s="858" t="e">
        <f t="shared" si="7"/>
        <v>#VALUE!</v>
      </c>
    </row>
    <row r="39" spans="2:14" s="515" customFormat="1" ht="13.5" thickBot="1">
      <c r="B39" s="851" t="s">
        <v>176</v>
      </c>
      <c r="C39" s="851"/>
      <c r="D39" s="859" t="e">
        <f>-'DEP - Pond'!F25</f>
        <v>#VALUE!</v>
      </c>
      <c r="E39" s="859" t="e">
        <f>-'DEP - Pond'!G25</f>
        <v>#VALUE!</v>
      </c>
      <c r="F39" s="859" t="e">
        <f>-'DEP - Pond'!H25</f>
        <v>#VALUE!</v>
      </c>
      <c r="G39" s="859" t="e">
        <f>-'DEP - Pond'!I25</f>
        <v>#VALUE!</v>
      </c>
      <c r="H39" s="859" t="e">
        <f>-'DEP - Pond'!J25</f>
        <v>#VALUE!</v>
      </c>
      <c r="I39" s="859" t="e">
        <f>-'DEP - Pond'!K25</f>
        <v>#VALUE!</v>
      </c>
      <c r="J39" s="859" t="e">
        <f>-'DEP - Pond'!L25</f>
        <v>#VALUE!</v>
      </c>
      <c r="K39" s="859" t="e">
        <f>-'DEP - Pond'!M25</f>
        <v>#VALUE!</v>
      </c>
      <c r="L39" s="859" t="e">
        <f>-'DEP - Pond'!N25</f>
        <v>#VALUE!</v>
      </c>
      <c r="M39" s="859" t="e">
        <f>-'DEP - Pond'!O25</f>
        <v>#VALUE!</v>
      </c>
    </row>
    <row r="40" spans="2:14" s="468" customFormat="1" ht="13.5" thickBot="1">
      <c r="B40" s="871"/>
      <c r="C40" s="871"/>
      <c r="D40" s="872"/>
      <c r="E40" s="872"/>
      <c r="F40" s="872"/>
      <c r="G40" s="872"/>
      <c r="H40" s="872"/>
      <c r="I40" s="872"/>
      <c r="J40" s="872"/>
      <c r="K40" s="872"/>
      <c r="L40" s="872"/>
      <c r="M40" s="872"/>
    </row>
    <row r="41" spans="2:14" s="515" customFormat="1" ht="13.5" thickBot="1">
      <c r="B41" s="852" t="s">
        <v>177</v>
      </c>
      <c r="C41" s="852"/>
      <c r="D41" s="860" t="e">
        <f t="shared" ref="D41:M41" si="8">D18+D37+D39</f>
        <v>#VALUE!</v>
      </c>
      <c r="E41" s="860" t="e">
        <f t="shared" si="8"/>
        <v>#VALUE!</v>
      </c>
      <c r="F41" s="860" t="e">
        <f t="shared" si="8"/>
        <v>#VALUE!</v>
      </c>
      <c r="G41" s="860" t="e">
        <f t="shared" si="8"/>
        <v>#VALUE!</v>
      </c>
      <c r="H41" s="860" t="e">
        <f t="shared" si="8"/>
        <v>#VALUE!</v>
      </c>
      <c r="I41" s="860" t="e">
        <f t="shared" si="8"/>
        <v>#VALUE!</v>
      </c>
      <c r="J41" s="860" t="e">
        <f t="shared" si="8"/>
        <v>#VALUE!</v>
      </c>
      <c r="K41" s="860" t="e">
        <f t="shared" si="8"/>
        <v>#VALUE!</v>
      </c>
      <c r="L41" s="860" t="e">
        <f t="shared" si="8"/>
        <v>#VALUE!</v>
      </c>
      <c r="M41" s="860" t="e">
        <f t="shared" si="8"/>
        <v>#VALUE!</v>
      </c>
    </row>
    <row r="42" spans="2:14" s="468" customFormat="1" ht="13.5" thickBot="1">
      <c r="B42" s="871"/>
      <c r="C42" s="871"/>
      <c r="D42" s="872"/>
      <c r="E42" s="872"/>
      <c r="F42" s="872"/>
      <c r="G42" s="872"/>
      <c r="H42" s="872"/>
      <c r="I42" s="872"/>
      <c r="J42" s="872"/>
      <c r="K42" s="872"/>
      <c r="L42" s="872"/>
      <c r="M42" s="872"/>
    </row>
    <row r="43" spans="2:14" s="515" customFormat="1">
      <c r="B43" s="844" t="s">
        <v>258</v>
      </c>
      <c r="C43" s="844"/>
      <c r="D43" s="867">
        <f>IF(Interface!$H$16="DEBT",-'Loan Int &amp; Bal - Pond'!B4, IF(Interface!$H$16="DEBT/EQUITY",-'Loan Int &amp; Bal - Pond'!B4,0))</f>
        <v>0</v>
      </c>
      <c r="E43" s="867">
        <f>IF(Interface!$H$16="DEBT",-'Loan Int &amp; Bal - Pond'!C4, IF(Interface!$H$16="DEBT/EQUITY",-'Loan Int &amp; Bal - Pond'!C4,0))</f>
        <v>0</v>
      </c>
      <c r="F43" s="867">
        <f>IF(Interface!$H$16="DEBT",-'Loan Int &amp; Bal - Pond'!D4, IF(Interface!$H$16="DEBT/EQUITY",-'Loan Int &amp; Bal - Pond'!D4,0))</f>
        <v>0</v>
      </c>
      <c r="G43" s="867">
        <f>IF(Interface!$H$16="DEBT",-'Loan Int &amp; Bal - Pond'!E4, IF(Interface!$H$16="DEBT/EQUITY",-'Loan Int &amp; Bal - Pond'!E4,0))</f>
        <v>0</v>
      </c>
      <c r="H43" s="867">
        <f>IF(Interface!$H$16="DEBT",-'Loan Int &amp; Bal - Pond'!F4, IF(Interface!$H$16="DEBT/EQUITY",-'Loan Int &amp; Bal - Pond'!F4,0))</f>
        <v>0</v>
      </c>
      <c r="I43" s="867">
        <f>IF(Interface!$H$16="DEBT",-'Loan Int &amp; Bal - Pond'!G4, IF(Interface!$H$16="DEBT/EQUITY",-'Loan Int &amp; Bal - Pond'!G4,0))</f>
        <v>0</v>
      </c>
      <c r="J43" s="867">
        <f>IF(Interface!$H$16="DEBT",-'Loan Int &amp; Bal - Pond'!H4, IF(Interface!$H$16="DEBT/EQUITY",-'Loan Int &amp; Bal - Pond'!H4,0))</f>
        <v>0</v>
      </c>
      <c r="K43" s="867">
        <f>IF(Interface!$H$16="DEBT",-'Loan Int &amp; Bal - Pond'!I4, IF(Interface!$H$16="DEBT/EQUITY",-'Loan Int &amp; Bal - Pond'!I4,0))</f>
        <v>0</v>
      </c>
      <c r="L43" s="867">
        <f>IF(Interface!$H$16="DEBT",-'Loan Int &amp; Bal - Pond'!J4, IF(Interface!$H$16="DEBT/EQUITY",-'Loan Int &amp; Bal - Pond'!J4,0))</f>
        <v>0</v>
      </c>
      <c r="M43" s="867">
        <f>IF(Interface!$H$16="DEBT",-'Loan Int &amp; Bal - Pond'!K4, IF(Interface!$H$16="DEBT/EQUITY",-'Loan Int &amp; Bal - Pond'!K4,0))</f>
        <v>0</v>
      </c>
    </row>
    <row r="44" spans="2:14" s="515" customFormat="1" ht="13.5" thickBot="1">
      <c r="B44" s="862" t="s">
        <v>178</v>
      </c>
      <c r="C44" s="862"/>
      <c r="D44" s="868" t="e">
        <f>-IF((D41)*28%&gt;0, (D41)*28%, 0)</f>
        <v>#VALUE!</v>
      </c>
      <c r="E44" s="868" t="e">
        <f>-IF((E41)*28%&gt;0, (E41)*28%, 0)</f>
        <v>#VALUE!</v>
      </c>
      <c r="F44" s="868" t="e">
        <f t="shared" ref="F44:M44" si="9">-IF((F41)*28%&gt;0, (F41)*28%, 0)</f>
        <v>#VALUE!</v>
      </c>
      <c r="G44" s="868" t="e">
        <f>-IF((G41)*28%&gt;0, (G41)*28%, 0)</f>
        <v>#VALUE!</v>
      </c>
      <c r="H44" s="868" t="e">
        <f t="shared" si="9"/>
        <v>#VALUE!</v>
      </c>
      <c r="I44" s="868" t="e">
        <f t="shared" si="9"/>
        <v>#VALUE!</v>
      </c>
      <c r="J44" s="868" t="e">
        <f t="shared" si="9"/>
        <v>#VALUE!</v>
      </c>
      <c r="K44" s="868" t="e">
        <f t="shared" si="9"/>
        <v>#VALUE!</v>
      </c>
      <c r="L44" s="868" t="e">
        <f t="shared" si="9"/>
        <v>#VALUE!</v>
      </c>
      <c r="M44" s="868" t="e">
        <f t="shared" si="9"/>
        <v>#VALUE!</v>
      </c>
    </row>
    <row r="45" spans="2:14" s="468" customFormat="1" ht="13.5" thickBot="1">
      <c r="B45" s="871"/>
      <c r="C45" s="871"/>
      <c r="D45" s="872"/>
      <c r="E45" s="840"/>
      <c r="F45" s="840"/>
      <c r="G45" s="840"/>
      <c r="H45" s="840"/>
      <c r="I45" s="840"/>
      <c r="J45" s="840"/>
      <c r="K45" s="840"/>
      <c r="L45" s="840"/>
      <c r="M45" s="840"/>
    </row>
    <row r="46" spans="2:14" s="515" customFormat="1">
      <c r="B46" s="869" t="s">
        <v>179</v>
      </c>
      <c r="C46" s="869">
        <v>-1</v>
      </c>
      <c r="D46" s="870" t="e">
        <f>D41+D44+D43</f>
        <v>#VALUE!</v>
      </c>
      <c r="E46" s="870" t="e">
        <f t="shared" ref="E46:M46" si="10">E41+E44+E43</f>
        <v>#VALUE!</v>
      </c>
      <c r="F46" s="870" t="e">
        <f t="shared" si="10"/>
        <v>#VALUE!</v>
      </c>
      <c r="G46" s="870" t="e">
        <f t="shared" si="10"/>
        <v>#VALUE!</v>
      </c>
      <c r="H46" s="870" t="e">
        <f t="shared" si="10"/>
        <v>#VALUE!</v>
      </c>
      <c r="I46" s="870" t="e">
        <f t="shared" si="10"/>
        <v>#VALUE!</v>
      </c>
      <c r="J46" s="870" t="e">
        <f t="shared" si="10"/>
        <v>#VALUE!</v>
      </c>
      <c r="K46" s="870" t="e">
        <f t="shared" si="10"/>
        <v>#VALUE!</v>
      </c>
      <c r="L46" s="870" t="e">
        <f t="shared" si="10"/>
        <v>#VALUE!</v>
      </c>
      <c r="M46" s="870" t="e">
        <f t="shared" si="10"/>
        <v>#VALUE!</v>
      </c>
      <c r="N46" s="515">
        <v>1</v>
      </c>
    </row>
    <row r="47" spans="2:14" s="515" customFormat="1" ht="13.5" thickBot="1">
      <c r="B47" s="846" t="s">
        <v>180</v>
      </c>
      <c r="C47" s="846"/>
      <c r="D47" s="865" t="e">
        <f t="shared" ref="D47:M47" si="11">D46/D7</f>
        <v>#VALUE!</v>
      </c>
      <c r="E47" s="866" t="e">
        <f t="shared" si="11"/>
        <v>#VALUE!</v>
      </c>
      <c r="F47" s="866" t="e">
        <f t="shared" si="11"/>
        <v>#VALUE!</v>
      </c>
      <c r="G47" s="866" t="e">
        <f t="shared" si="11"/>
        <v>#VALUE!</v>
      </c>
      <c r="H47" s="866" t="e">
        <f t="shared" si="11"/>
        <v>#VALUE!</v>
      </c>
      <c r="I47" s="866" t="e">
        <f t="shared" si="11"/>
        <v>#VALUE!</v>
      </c>
      <c r="J47" s="866" t="e">
        <f t="shared" si="11"/>
        <v>#VALUE!</v>
      </c>
      <c r="K47" s="866" t="e">
        <f t="shared" si="11"/>
        <v>#VALUE!</v>
      </c>
      <c r="L47" s="866" t="e">
        <f t="shared" si="11"/>
        <v>#VALUE!</v>
      </c>
      <c r="M47" s="866" t="e">
        <f t="shared" si="11"/>
        <v>#VALUE!</v>
      </c>
    </row>
    <row r="48" spans="2:14" ht="13.5" thickBot="1"/>
    <row r="49" spans="2:14" s="515" customFormat="1" ht="13.5" thickBot="1">
      <c r="B49" s="853" t="s">
        <v>325</v>
      </c>
      <c r="C49" s="854">
        <v>-1</v>
      </c>
      <c r="D49" s="855" t="e">
        <f t="shared" ref="D49:M49" si="12">D7-D38</f>
        <v>#VALUE!</v>
      </c>
      <c r="E49" s="855" t="e">
        <f t="shared" si="12"/>
        <v>#VALUE!</v>
      </c>
      <c r="F49" s="855" t="e">
        <f t="shared" si="12"/>
        <v>#VALUE!</v>
      </c>
      <c r="G49" s="855" t="e">
        <f t="shared" si="12"/>
        <v>#VALUE!</v>
      </c>
      <c r="H49" s="855" t="e">
        <f t="shared" si="12"/>
        <v>#VALUE!</v>
      </c>
      <c r="I49" s="855" t="e">
        <f t="shared" si="12"/>
        <v>#VALUE!</v>
      </c>
      <c r="J49" s="855" t="e">
        <f t="shared" si="12"/>
        <v>#VALUE!</v>
      </c>
      <c r="K49" s="855" t="e">
        <f t="shared" si="12"/>
        <v>#VALUE!</v>
      </c>
      <c r="L49" s="855" t="e">
        <f t="shared" si="12"/>
        <v>#VALUE!</v>
      </c>
      <c r="M49" s="856" t="e">
        <f t="shared" si="12"/>
        <v>#VALUE!</v>
      </c>
      <c r="N49" s="515">
        <v>1</v>
      </c>
    </row>
  </sheetData>
  <mergeCells count="3">
    <mergeCell ref="A1:XFD1"/>
    <mergeCell ref="B3:B4"/>
    <mergeCell ref="C3:M3"/>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8DEC2-8F15-4057-9B13-7F8A589A7A6E}">
  <sheetPr codeName="Sheet24">
    <tabColor theme="5" tint="0.39997558519241921"/>
  </sheetPr>
  <dimension ref="A1:L19"/>
  <sheetViews>
    <sheetView workbookViewId="0">
      <selection activeCell="A21" sqref="A21:XFD29"/>
    </sheetView>
  </sheetViews>
  <sheetFormatPr defaultColWidth="9.140625" defaultRowHeight="12.75"/>
  <cols>
    <col min="1" max="1" width="2.85546875" style="695" customWidth="1"/>
    <col min="2" max="2" width="31" style="695" customWidth="1"/>
    <col min="3" max="5" width="14.5703125" style="695" bestFit="1" customWidth="1"/>
    <col min="6" max="6" width="14.5703125" style="695" customWidth="1"/>
    <col min="7" max="7" width="14.140625" style="695" customWidth="1"/>
    <col min="8" max="9" width="14.5703125" style="695" bestFit="1" customWidth="1"/>
    <col min="10" max="11" width="14.140625" style="695" customWidth="1"/>
    <col min="12" max="12" width="14.42578125" style="695" customWidth="1"/>
    <col min="13" max="16384" width="9.140625" style="695"/>
  </cols>
  <sheetData>
    <row r="1" spans="1:12" s="1210" customFormat="1" ht="15">
      <c r="A1" s="1210" t="s">
        <v>441</v>
      </c>
    </row>
    <row r="2" spans="1:12" ht="13.5" thickBot="1"/>
    <row r="3" spans="1:12" ht="13.5" thickBot="1">
      <c r="B3" s="1213" t="s">
        <v>414</v>
      </c>
      <c r="C3" s="1183" t="s">
        <v>165</v>
      </c>
      <c r="D3" s="1183"/>
      <c r="E3" s="1184"/>
      <c r="F3" s="1184"/>
      <c r="G3" s="1184"/>
      <c r="H3" s="1184"/>
      <c r="I3" s="1184"/>
      <c r="J3" s="1184"/>
      <c r="K3" s="1184"/>
      <c r="L3" s="1184"/>
    </row>
    <row r="4" spans="1:12" ht="13.5" thickBot="1">
      <c r="B4" s="1214"/>
      <c r="C4" s="689" t="s">
        <v>112</v>
      </c>
      <c r="D4" s="689" t="s">
        <v>113</v>
      </c>
      <c r="E4" s="689" t="s">
        <v>114</v>
      </c>
      <c r="F4" s="689" t="s">
        <v>115</v>
      </c>
      <c r="G4" s="689" t="s">
        <v>116</v>
      </c>
      <c r="H4" s="689" t="s">
        <v>117</v>
      </c>
      <c r="I4" s="689" t="s">
        <v>118</v>
      </c>
      <c r="J4" s="689" t="s">
        <v>119</v>
      </c>
      <c r="K4" s="689" t="s">
        <v>120</v>
      </c>
      <c r="L4" s="689" t="s">
        <v>121</v>
      </c>
    </row>
    <row r="5" spans="1:12" s="515" customFormat="1" ht="13.5" thickBot="1">
      <c r="B5" s="690" t="s">
        <v>182</v>
      </c>
      <c r="C5" s="691"/>
      <c r="D5" s="692"/>
      <c r="E5" s="692"/>
      <c r="F5" s="692"/>
      <c r="G5" s="692"/>
      <c r="H5" s="692"/>
      <c r="I5" s="692"/>
      <c r="J5" s="692"/>
      <c r="K5" s="692"/>
      <c r="L5" s="693"/>
    </row>
    <row r="6" spans="1:12" s="515" customFormat="1" ht="13.5" thickBot="1">
      <c r="B6" s="697" t="s">
        <v>183</v>
      </c>
      <c r="C6" s="698" t="e">
        <f>CAPEX!$Q$28+'IS - Pond'!D39</f>
        <v>#VALUE!</v>
      </c>
      <c r="D6" s="698" t="e">
        <f>C6+'IS - Pond'!E39</f>
        <v>#VALUE!</v>
      </c>
      <c r="E6" s="698" t="e">
        <f>D6+'IS - Pond'!F39</f>
        <v>#VALUE!</v>
      </c>
      <c r="F6" s="698" t="e">
        <f>E6+'IS - Pond'!G39</f>
        <v>#VALUE!</v>
      </c>
      <c r="G6" s="698" t="e">
        <f>F6+'IS - Pond'!H39</f>
        <v>#VALUE!</v>
      </c>
      <c r="H6" s="698" t="e">
        <f>G6+'IS - Pond'!I39</f>
        <v>#VALUE!</v>
      </c>
      <c r="I6" s="698" t="e">
        <f>H6+'IS - Pond'!J39</f>
        <v>#VALUE!</v>
      </c>
      <c r="J6" s="698" t="e">
        <f>I6+'IS - Pond'!K39</f>
        <v>#VALUE!</v>
      </c>
      <c r="K6" s="698" t="e">
        <f>J6+'IS - Pond'!L39</f>
        <v>#VALUE!</v>
      </c>
      <c r="L6" s="698" t="e">
        <f>K6+'IS - Pond'!M39</f>
        <v>#VALUE!</v>
      </c>
    </row>
    <row r="7" spans="1:12" s="515" customFormat="1" ht="13.5" thickBot="1">
      <c r="B7" s="690" t="s">
        <v>184</v>
      </c>
      <c r="C7" s="691"/>
      <c r="D7" s="692"/>
      <c r="E7" s="692"/>
      <c r="F7" s="692"/>
      <c r="G7" s="692"/>
      <c r="H7" s="692"/>
      <c r="I7" s="692"/>
      <c r="J7" s="692"/>
      <c r="K7" s="692"/>
      <c r="L7" s="693"/>
    </row>
    <row r="8" spans="1:12" s="515" customFormat="1">
      <c r="B8" s="701" t="s">
        <v>185</v>
      </c>
      <c r="C8" s="702">
        <v>0</v>
      </c>
      <c r="D8" s="702">
        <v>0</v>
      </c>
      <c r="E8" s="702">
        <v>0</v>
      </c>
      <c r="F8" s="702">
        <v>0</v>
      </c>
      <c r="G8" s="702">
        <v>0</v>
      </c>
      <c r="H8" s="702">
        <v>0</v>
      </c>
      <c r="I8" s="702">
        <v>0</v>
      </c>
      <c r="J8" s="702">
        <v>0</v>
      </c>
      <c r="K8" s="702">
        <v>0</v>
      </c>
      <c r="L8" s="702">
        <v>0</v>
      </c>
    </row>
    <row r="9" spans="1:12" s="515" customFormat="1">
      <c r="B9" s="703" t="s">
        <v>186</v>
      </c>
      <c r="C9" s="704" t="e">
        <f>'Production Assumptions'!C56</f>
        <v>#VALUE!</v>
      </c>
      <c r="D9" s="704" t="e">
        <f>'Production Assumptions'!D56</f>
        <v>#VALUE!</v>
      </c>
      <c r="E9" s="704" t="e">
        <f>'Production Assumptions'!E56</f>
        <v>#VALUE!</v>
      </c>
      <c r="F9" s="704" t="e">
        <f>'Production Assumptions'!F56</f>
        <v>#VALUE!</v>
      </c>
      <c r="G9" s="704" t="e">
        <f>'Production Assumptions'!G56</f>
        <v>#VALUE!</v>
      </c>
      <c r="H9" s="704" t="e">
        <f>'Production Assumptions'!H56</f>
        <v>#VALUE!</v>
      </c>
      <c r="I9" s="704" t="e">
        <f>'Production Assumptions'!I56</f>
        <v>#VALUE!</v>
      </c>
      <c r="J9" s="704" t="e">
        <f>'Production Assumptions'!J56</f>
        <v>#VALUE!</v>
      </c>
      <c r="K9" s="704" t="e">
        <f>'Production Assumptions'!K55</f>
        <v>#VALUE!</v>
      </c>
      <c r="L9" s="704" t="e">
        <f>'Production Assumptions'!L55</f>
        <v>#VALUE!</v>
      </c>
    </row>
    <row r="10" spans="1:12" s="515" customFormat="1" ht="13.5" thickBot="1">
      <c r="B10" s="705" t="s">
        <v>187</v>
      </c>
      <c r="C10" s="706" t="e">
        <f>IF(Interface!H16="Equity",'Production Assumptions'!C55+'IS - Pond'!D37+'IS - Pond'!D16+'Working Capital - Pond'!C34,IF(Interface!H16="Debt/Equity",('Production Assumptions'!C55+'IS - Pond'!D37+'IS - Pond'!D16+'Working Capital - Pond'!C34-'Loan Int &amp; Bal - Pond'!B6),'Production Assumptions'!C55+'IS - Pond'!D37+'IS - Pond'!D16+'Working Capital - Pond'!C34-'Loan Int &amp; Bal - Pond'!B6))</f>
        <v>#VALUE!</v>
      </c>
      <c r="D10" s="706" t="e">
        <f>IF(Interface!$H$16="Equity",'Production Assumptions'!D55+'IS - Pond'!E37+'IS - Pond'!E16+C10,IF(Interface!$H$16="Debt/Equity",('Production Assumptions'!D55+'IS - Pond'!E37+'IS - Pond'!E16-'Loan Int &amp; Bal - Pond'!C6+C10),'Production Assumptions'!D55+'IS - Pond'!E37+'IS - Pond'!E16+C10-'Loan Int &amp; Bal - Pond'!C6))</f>
        <v>#VALUE!</v>
      </c>
      <c r="E10" s="706" t="e">
        <f>IF(Interface!$H$16="Equity",'Production Assumptions'!E55+'IS - Pond'!F37+'IS - Pond'!F16+D10,IF(Interface!$H$16="Debt/Equity",('Production Assumptions'!E55+'IS - Pond'!F37+'IS - Pond'!F16-'Loan Int &amp; Bal - Pond'!D6+D10),'Production Assumptions'!E55+'IS - Pond'!F37+'IS - Pond'!F16+D10-'Loan Int &amp; Bal - Pond'!D6))</f>
        <v>#VALUE!</v>
      </c>
      <c r="F10" s="706" t="e">
        <f>IF(Interface!$H$16="Equity",'Production Assumptions'!F55+'IS - Pond'!G37+'IS - Pond'!G16+E10,IF(Interface!$H$16="Debt/Equity",('Production Assumptions'!F55+'IS - Pond'!G37+'IS - Pond'!G16-'Loan Int &amp; Bal - Pond'!E6+E10),'Production Assumptions'!F55+'IS - Pond'!G37+'IS - Pond'!G16+E10-'Loan Int &amp; Bal - Pond'!E6))</f>
        <v>#VALUE!</v>
      </c>
      <c r="G10" s="706" t="e">
        <f>IF(Interface!$H$16="Equity",'Production Assumptions'!G55+'IS - Pond'!H37+'IS - Pond'!H16+F10,IF(Interface!$H$16="Debt/Equity",('Production Assumptions'!G55+'IS - Pond'!H37+'IS - Pond'!H16-'Loan Int &amp; Bal - Pond'!F6+F10),'Production Assumptions'!G55+'IS - Pond'!H37+'IS - Pond'!H16+F10-'Loan Int &amp; Bal - Pond'!F6))</f>
        <v>#VALUE!</v>
      </c>
      <c r="H10" s="706" t="e">
        <f>IF(Interface!$H$16="Equity",'Production Assumptions'!H55+'IS - Pond'!I37+'IS - Pond'!I16+G10,IF(Interface!$H$16="Debt/Equity",('Production Assumptions'!H55+'IS - Pond'!I37+'IS - Pond'!I16-'Loan Int &amp; Bal - Pond'!G6+G10),'Production Assumptions'!H55+'IS - Pond'!I37+'IS - Pond'!I16+G10-'Loan Int &amp; Bal - Pond'!G6))</f>
        <v>#VALUE!</v>
      </c>
      <c r="I10" s="706" t="e">
        <f>IF(Interface!$H$16="Equity",'Production Assumptions'!I55+'IS - Pond'!J37+'IS - Pond'!J16+H10,IF(Interface!$H$16="Debt/Equity",('Production Assumptions'!I55+'IS - Pond'!J37+'IS - Pond'!J16-'Loan Int &amp; Bal - Pond'!H6+H10),'Production Assumptions'!I55+'IS - Pond'!J37+'IS - Pond'!J16+H10-'Loan Int &amp; Bal - Pond'!H6))</f>
        <v>#VALUE!</v>
      </c>
      <c r="J10" s="706" t="e">
        <f>IF(Interface!$H$16="Equity",'Production Assumptions'!J55+'IS - Pond'!K37+'IS - Pond'!K16+I10,IF(Interface!$H$16="Debt/Equity",('Production Assumptions'!J55+'IS - Pond'!K37+'IS - Pond'!K16-'Loan Int &amp; Bal - Pond'!I6+I10),'Production Assumptions'!J55+'IS - Pond'!K37+'IS - Pond'!K16+I10-'Loan Int &amp; Bal - Pond'!I6))</f>
        <v>#VALUE!</v>
      </c>
      <c r="K10" s="706" t="e">
        <f>IF(Interface!$H$16="Equity",'Production Assumptions'!K54+'IS - Pond'!L37+'IS - Pond'!L16+J10,IF(Interface!$H$16="Debt/Equity",('Production Assumptions'!K54+'IS - Pond'!L37+'IS - Pond'!L16-'Loan Int &amp; Bal - Pond'!J6+J10),'Production Assumptions'!K54+'IS - Pond'!L37+'IS - Pond'!L16+J10-'Loan Int &amp; Bal - Pond'!J6))</f>
        <v>#VALUE!</v>
      </c>
      <c r="L10" s="706" t="e">
        <f>IF(Interface!$H$16="Equity",'Production Assumptions'!L54+'IS - Pond'!M37+'IS - Pond'!M16+K10,IF(Interface!$H$16="Debt/Equity",('Production Assumptions'!L54+'IS - Pond'!M37+'IS - Pond'!M16-'Loan Int &amp; Bal - Pond'!K6+K10),'Production Assumptions'!L54+'IS - Pond'!M37+'IS - Pond'!M16+K10-'Loan Int &amp; Bal - Pond'!K6))</f>
        <v>#VALUE!</v>
      </c>
    </row>
    <row r="11" spans="1:12" s="515" customFormat="1" ht="13.5" thickBot="1">
      <c r="B11" s="699"/>
      <c r="C11" s="700" t="e">
        <f>SUM(C6:C10)</f>
        <v>#VALUE!</v>
      </c>
      <c r="D11" s="700" t="e">
        <f t="shared" ref="D11:L11" si="0">SUM(D6:D10)</f>
        <v>#VALUE!</v>
      </c>
      <c r="E11" s="700" t="e">
        <f t="shared" si="0"/>
        <v>#VALUE!</v>
      </c>
      <c r="F11" s="700" t="e">
        <f t="shared" si="0"/>
        <v>#VALUE!</v>
      </c>
      <c r="G11" s="700" t="e">
        <f t="shared" si="0"/>
        <v>#VALUE!</v>
      </c>
      <c r="H11" s="700" t="e">
        <f t="shared" si="0"/>
        <v>#VALUE!</v>
      </c>
      <c r="I11" s="700" t="e">
        <f t="shared" si="0"/>
        <v>#VALUE!</v>
      </c>
      <c r="J11" s="700" t="e">
        <f t="shared" si="0"/>
        <v>#VALUE!</v>
      </c>
      <c r="K11" s="700" t="e">
        <f t="shared" si="0"/>
        <v>#VALUE!</v>
      </c>
      <c r="L11" s="700" t="e">
        <f t="shared" si="0"/>
        <v>#VALUE!</v>
      </c>
    </row>
    <row r="12" spans="1:12" s="515" customFormat="1" ht="13.5" thickBot="1">
      <c r="B12" s="690" t="s">
        <v>188</v>
      </c>
      <c r="C12" s="691"/>
      <c r="D12" s="692"/>
      <c r="E12" s="692"/>
      <c r="F12" s="692"/>
      <c r="G12" s="692"/>
      <c r="H12" s="692"/>
      <c r="I12" s="692"/>
      <c r="J12" s="692"/>
      <c r="K12" s="692"/>
      <c r="L12" s="693"/>
    </row>
    <row r="13" spans="1:12" s="515" customFormat="1">
      <c r="B13" s="701" t="s">
        <v>189</v>
      </c>
      <c r="C13" s="702" t="e">
        <f>'IS - Pond'!D46</f>
        <v>#VALUE!</v>
      </c>
      <c r="D13" s="702" t="e">
        <f>C13+'IS - Pond'!E46</f>
        <v>#VALUE!</v>
      </c>
      <c r="E13" s="702" t="e">
        <f>D13+'IS - Pond'!F46</f>
        <v>#VALUE!</v>
      </c>
      <c r="F13" s="702" t="e">
        <f>E13+'IS - Pond'!G46</f>
        <v>#VALUE!</v>
      </c>
      <c r="G13" s="702" t="e">
        <f>F13+'IS - Pond'!H46</f>
        <v>#VALUE!</v>
      </c>
      <c r="H13" s="702" t="e">
        <f>G13+'IS - Pond'!I46</f>
        <v>#VALUE!</v>
      </c>
      <c r="I13" s="702" t="e">
        <f>H13+'IS - Pond'!J46</f>
        <v>#VALUE!</v>
      </c>
      <c r="J13" s="702" t="e">
        <f>I13+'IS - Pond'!K46</f>
        <v>#VALUE!</v>
      </c>
      <c r="K13" s="702" t="e">
        <f>J13+'IS - Pond'!L46</f>
        <v>#VALUE!</v>
      </c>
      <c r="L13" s="702" t="e">
        <f>K13+'IS - Pond'!M46</f>
        <v>#VALUE!</v>
      </c>
    </row>
    <row r="14" spans="1:12" s="515" customFormat="1">
      <c r="B14" s="703" t="s">
        <v>190</v>
      </c>
      <c r="C14" s="704">
        <f>IF(Interface!$H$16="EQUITY",CAPEX!$Q$28+'Working Capital - Pond'!$C$34,IF(Interface!$H$16="DEBT/EQUITY",(CAPEX!$Q$28+'Working Capital - Pond'!$C$34)*(100%-Interface!$I$16),0))</f>
        <v>0</v>
      </c>
      <c r="D14" s="704">
        <f>IF(Interface!$H$16="EQUITY",CAPEX!$Q$28+'Working Capital - Pond'!$C$34,IF(Interface!$H$16="DEBT/EQUITY",(CAPEX!$Q$28+'Working Capital - Pond'!$C$34)*(100%-Interface!$I$16),0))</f>
        <v>0</v>
      </c>
      <c r="E14" s="704">
        <f>IF(Interface!$H$16="EQUITY",CAPEX!$Q$28+'Working Capital - Pond'!$C$34,IF(Interface!$H$16="DEBT/EQUITY",(CAPEX!$Q$28+'Working Capital - Pond'!$C$34)*(100%-Interface!$I$16),0))</f>
        <v>0</v>
      </c>
      <c r="F14" s="704">
        <f>IF(Interface!$H$16="EQUITY",CAPEX!$Q$28+'Working Capital - Pond'!$C$34,IF(Interface!$H$16="DEBT/EQUITY",(CAPEX!$Q$28+'Working Capital - Pond'!$C$34)*(100%-Interface!$I$16),0))</f>
        <v>0</v>
      </c>
      <c r="G14" s="704">
        <f>IF(Interface!$H$16="EQUITY",CAPEX!$Q$28+'Working Capital - Pond'!$C$34,IF(Interface!$H$16="DEBT/EQUITY",(CAPEX!$Q$28+'Working Capital - Pond'!$C$34)*(100%-Interface!$I$16),0))</f>
        <v>0</v>
      </c>
      <c r="H14" s="704">
        <f>IF(Interface!$H$16="EQUITY",CAPEX!$Q$28+'Working Capital - Pond'!$C$34,IF(Interface!$H$16="DEBT/EQUITY",(CAPEX!$Q$28+'Working Capital - Pond'!$C$34)*(100%-Interface!$I$16),0))</f>
        <v>0</v>
      </c>
      <c r="I14" s="704">
        <f>IF(Interface!$H$16="EQUITY",CAPEX!$Q$28+'Working Capital - Pond'!$C$34,IF(Interface!$H$16="DEBT/EQUITY",(CAPEX!$Q$28+'Working Capital - Pond'!$C$34)*(100%-Interface!$I$16),0))</f>
        <v>0</v>
      </c>
      <c r="J14" s="704">
        <f>IF(Interface!$H$16="EQUITY",CAPEX!$Q$28+'Working Capital - Pond'!$C$34,IF(Interface!$H$16="DEBT/EQUITY",(CAPEX!$Q$28+'Working Capital - Pond'!$C$34)*(100%-Interface!$I$16),0))</f>
        <v>0</v>
      </c>
      <c r="K14" s="704">
        <f>IF(Interface!$H$16="EQUITY",CAPEX!$Q$28+'Working Capital - Pond'!$C$34,IF(Interface!$H$16="DEBT/EQUITY",(CAPEX!$Q$28+'Working Capital - Pond'!$C$34)*(100%-Interface!$I$16),0))</f>
        <v>0</v>
      </c>
      <c r="L14" s="704">
        <f>IF(Interface!$H$16="EQUITY",CAPEX!$Q$28+'Working Capital - Pond'!$C$34,IF(Interface!$H$16="DEBT/EQUITY",(CAPEX!$Q$28+'Working Capital - Pond'!$C$34)*(100%-Interface!$I$16),0))</f>
        <v>0</v>
      </c>
    </row>
    <row r="15" spans="1:12" s="515" customFormat="1">
      <c r="B15" s="703" t="s">
        <v>255</v>
      </c>
      <c r="C15" s="704">
        <f>IF(Interface!$H$16="DEBT",'Loan Int &amp; Bal - Pond'!B5,IF(Interface!$H$16="DEBT/EQUITY",'Loan Int &amp; Bal - Pond'!B5,0))</f>
        <v>0</v>
      </c>
      <c r="D15" s="704">
        <f>IF(Interface!$H$16="DEBT",'Loan Int &amp; Bal - Pond'!C5,IF(Interface!$H$16="DEBT/EQUITY",'Loan Int &amp; Bal - Pond'!C5,0))</f>
        <v>0</v>
      </c>
      <c r="E15" s="704">
        <f>IF(Interface!$H$16="DEBT",'Loan Int &amp; Bal - Pond'!D5,IF(Interface!$H$16="DEBT/EQUITY",'Loan Int &amp; Bal - Pond'!D5,0))</f>
        <v>0</v>
      </c>
      <c r="F15" s="704">
        <f>IF(Interface!$H$16="DEBT",'Loan Int &amp; Bal - Pond'!E5,IF(Interface!$H$16="DEBT/EQUITY",'Loan Int &amp; Bal - Pond'!E5,0))</f>
        <v>0</v>
      </c>
      <c r="G15" s="704">
        <f>IF(Interface!$H$16="DEBT",'Loan Int &amp; Bal - Pond'!F5,IF(Interface!$H$16="DEBT/EQUITY",'Loan Int &amp; Bal - Pond'!F5,0))</f>
        <v>0</v>
      </c>
      <c r="H15" s="704">
        <f>IF(Interface!$H$16="DEBT",'Loan Int &amp; Bal - Pond'!G5,IF(Interface!$H$16="DEBT/EQUITY",'Loan Int &amp; Bal - Pond'!G5,0))</f>
        <v>0</v>
      </c>
      <c r="I15" s="704">
        <f>IF(Interface!$H$16="DEBT",'Loan Int &amp; Bal - Pond'!H5,IF(Interface!$H$16="DEBT/EQUITY",'Loan Int &amp; Bal - Pond'!H5,0))</f>
        <v>0</v>
      </c>
      <c r="J15" s="704">
        <f>IF(Interface!$H$16="DEBT",'Loan Int &amp; Bal - Pond'!I5,IF(Interface!$H$16="DEBT/EQUITY",'Loan Int &amp; Bal - Pond'!I5,0))</f>
        <v>0</v>
      </c>
      <c r="K15" s="704">
        <f>IF(Interface!$H$16="DEBT",'Loan Int &amp; Bal - Pond'!J5,IF(Interface!$H$16="DEBT/EQUITY",'Loan Int &amp; Bal - Pond'!J5,0))</f>
        <v>0</v>
      </c>
      <c r="L15" s="704">
        <f>IF(Interface!$H$16="DEBT",'Loan Int &amp; Bal - Pond'!K5,IF(Interface!$H$16="DEBT/EQUITY",'Loan Int &amp; Bal - Pond'!K5,0))</f>
        <v>0</v>
      </c>
    </row>
    <row r="16" spans="1:12" s="515" customFormat="1" ht="13.5" thickBot="1">
      <c r="B16" s="705" t="s">
        <v>191</v>
      </c>
      <c r="C16" s="706" t="e">
        <f>-'IS - Pond'!D44</f>
        <v>#VALUE!</v>
      </c>
      <c r="D16" s="706" t="e">
        <f>-'IS - Pond'!E44+C16</f>
        <v>#VALUE!</v>
      </c>
      <c r="E16" s="706" t="e">
        <f>-'IS - Pond'!F44+D16</f>
        <v>#VALUE!</v>
      </c>
      <c r="F16" s="706" t="e">
        <f>-'IS - Pond'!G44+E16</f>
        <v>#VALUE!</v>
      </c>
      <c r="G16" s="706" t="e">
        <f>-'IS - Pond'!H44+F16</f>
        <v>#VALUE!</v>
      </c>
      <c r="H16" s="706" t="e">
        <f>-'IS - Pond'!I44+G16</f>
        <v>#VALUE!</v>
      </c>
      <c r="I16" s="706" t="e">
        <f>-'IS - Pond'!J44+H16</f>
        <v>#VALUE!</v>
      </c>
      <c r="J16" s="706" t="e">
        <f>-'IS - Pond'!K44+I16</f>
        <v>#VALUE!</v>
      </c>
      <c r="K16" s="706" t="e">
        <f>-'IS - Pond'!L44+J16</f>
        <v>#VALUE!</v>
      </c>
      <c r="L16" s="706" t="e">
        <f>-'IS - Pond'!M44+K16</f>
        <v>#VALUE!</v>
      </c>
    </row>
    <row r="17" spans="2:12" s="515" customFormat="1" ht="13.5" thickBot="1">
      <c r="B17" s="699"/>
      <c r="C17" s="700" t="e">
        <f>SUM(C13:C16)</f>
        <v>#VALUE!</v>
      </c>
      <c r="D17" s="700" t="e">
        <f t="shared" ref="D17:L17" si="1">SUM(D13:D16)</f>
        <v>#VALUE!</v>
      </c>
      <c r="E17" s="700" t="e">
        <f t="shared" si="1"/>
        <v>#VALUE!</v>
      </c>
      <c r="F17" s="700" t="e">
        <f t="shared" si="1"/>
        <v>#VALUE!</v>
      </c>
      <c r="G17" s="700" t="e">
        <f t="shared" si="1"/>
        <v>#VALUE!</v>
      </c>
      <c r="H17" s="700" t="e">
        <f t="shared" si="1"/>
        <v>#VALUE!</v>
      </c>
      <c r="I17" s="700" t="e">
        <f t="shared" si="1"/>
        <v>#VALUE!</v>
      </c>
      <c r="J17" s="700" t="e">
        <f t="shared" si="1"/>
        <v>#VALUE!</v>
      </c>
      <c r="K17" s="700" t="e">
        <f t="shared" si="1"/>
        <v>#VALUE!</v>
      </c>
      <c r="L17" s="700" t="e">
        <f t="shared" si="1"/>
        <v>#VALUE!</v>
      </c>
    </row>
    <row r="18" spans="2:12">
      <c r="C18" s="889" t="e">
        <f>C11-C17</f>
        <v>#VALUE!</v>
      </c>
      <c r="D18" s="889" t="e">
        <f t="shared" ref="D18:L18" si="2">D11-D17</f>
        <v>#VALUE!</v>
      </c>
      <c r="E18" s="889" t="e">
        <f t="shared" si="2"/>
        <v>#VALUE!</v>
      </c>
      <c r="F18" s="889" t="e">
        <f t="shared" si="2"/>
        <v>#VALUE!</v>
      </c>
      <c r="G18" s="889" t="e">
        <f t="shared" si="2"/>
        <v>#VALUE!</v>
      </c>
      <c r="H18" s="889" t="e">
        <f t="shared" si="2"/>
        <v>#VALUE!</v>
      </c>
      <c r="I18" s="889" t="e">
        <f t="shared" si="2"/>
        <v>#VALUE!</v>
      </c>
      <c r="J18" s="889" t="e">
        <f t="shared" si="2"/>
        <v>#VALUE!</v>
      </c>
      <c r="K18" s="889" t="e">
        <f t="shared" si="2"/>
        <v>#VALUE!</v>
      </c>
      <c r="L18" s="889" t="e">
        <f t="shared" si="2"/>
        <v>#VALUE!</v>
      </c>
    </row>
    <row r="19" spans="2:12">
      <c r="C19" s="696" t="e">
        <f>IF(ABS(C18)&lt;0.00001,"OK","ERROR")</f>
        <v>#VALUE!</v>
      </c>
      <c r="D19" s="696" t="e">
        <f t="shared" ref="D19:L19" si="3">IF(ABS(D18)&lt;0.00001,"OK","ERROR")</f>
        <v>#VALUE!</v>
      </c>
      <c r="E19" s="696" t="e">
        <f t="shared" si="3"/>
        <v>#VALUE!</v>
      </c>
      <c r="F19" s="696" t="e">
        <f t="shared" si="3"/>
        <v>#VALUE!</v>
      </c>
      <c r="G19" s="696" t="e">
        <f t="shared" si="3"/>
        <v>#VALUE!</v>
      </c>
      <c r="H19" s="696" t="e">
        <f t="shared" si="3"/>
        <v>#VALUE!</v>
      </c>
      <c r="I19" s="696" t="e">
        <f t="shared" si="3"/>
        <v>#VALUE!</v>
      </c>
      <c r="J19" s="696" t="e">
        <f t="shared" si="3"/>
        <v>#VALUE!</v>
      </c>
      <c r="K19" s="696" t="e">
        <f t="shared" si="3"/>
        <v>#VALUE!</v>
      </c>
      <c r="L19" s="696" t="e">
        <f t="shared" si="3"/>
        <v>#VALUE!</v>
      </c>
    </row>
  </sheetData>
  <mergeCells count="3">
    <mergeCell ref="C3:L3"/>
    <mergeCell ref="B3:B4"/>
    <mergeCell ref="A1:XFD1"/>
  </mergeCells>
  <conditionalFormatting sqref="C19:L19">
    <cfRule type="cellIs" dxfId="11" priority="1" stopIfTrue="1" operator="equal">
      <formula>"OK"</formula>
    </cfRule>
    <cfRule type="cellIs" dxfId="10" priority="2" stopIfTrue="1" operator="notEqual">
      <formula>"OK"</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92B0D-2B93-4B02-9E7C-2C52118A1657}">
  <sheetPr codeName="Sheet26">
    <tabColor theme="5" tint="0.39997558519241921"/>
  </sheetPr>
  <dimension ref="A1:N37"/>
  <sheetViews>
    <sheetView workbookViewId="0">
      <selection activeCell="B24" sqref="A1:XFD37"/>
    </sheetView>
  </sheetViews>
  <sheetFormatPr defaultColWidth="9.140625" defaultRowHeight="12.75"/>
  <cols>
    <col min="1" max="1" width="4.7109375" style="515" customWidth="1"/>
    <col min="2" max="2" width="40.28515625" style="468" bestFit="1" customWidth="1"/>
    <col min="3" max="3" width="7" style="468" bestFit="1" customWidth="1"/>
    <col min="4" max="6" width="11.85546875" style="515" bestFit="1" customWidth="1"/>
    <col min="7" max="13" width="12.85546875" style="515" bestFit="1" customWidth="1"/>
    <col min="14" max="14" width="13.140625" style="515" bestFit="1" customWidth="1"/>
    <col min="15" max="16384" width="9.140625" style="515"/>
  </cols>
  <sheetData>
    <row r="1" spans="1:14" s="1210" customFormat="1" ht="15">
      <c r="A1" s="1210" t="s">
        <v>442</v>
      </c>
    </row>
    <row r="2" spans="1:14" ht="13.5" thickBot="1"/>
    <row r="3" spans="1:14" ht="13.5" thickBot="1">
      <c r="B3" s="1215" t="s">
        <v>192</v>
      </c>
      <c r="C3" s="1216"/>
      <c r="D3" s="1185" t="s">
        <v>165</v>
      </c>
      <c r="E3" s="1185"/>
      <c r="F3" s="1185"/>
      <c r="G3" s="1185"/>
      <c r="H3" s="1185"/>
      <c r="I3" s="1185"/>
      <c r="J3" s="1185"/>
      <c r="K3" s="1185"/>
      <c r="L3" s="1185"/>
      <c r="M3" s="1185"/>
    </row>
    <row r="4" spans="1:14" ht="13.5" thickBot="1">
      <c r="B4" s="1215"/>
      <c r="C4" s="1216"/>
      <c r="D4" s="711" t="s">
        <v>12</v>
      </c>
      <c r="E4" s="711" t="s">
        <v>13</v>
      </c>
      <c r="F4" s="711" t="s">
        <v>14</v>
      </c>
      <c r="G4" s="711" t="s">
        <v>15</v>
      </c>
      <c r="H4" s="711" t="s">
        <v>16</v>
      </c>
      <c r="I4" s="711" t="s">
        <v>17</v>
      </c>
      <c r="J4" s="711" t="s">
        <v>18</v>
      </c>
      <c r="K4" s="711" t="s">
        <v>21</v>
      </c>
      <c r="L4" s="711" t="s">
        <v>22</v>
      </c>
      <c r="M4" s="711" t="s">
        <v>23</v>
      </c>
      <c r="N4" s="708" t="s">
        <v>278</v>
      </c>
    </row>
    <row r="5" spans="1:14" ht="13.5" thickBot="1">
      <c r="B5" s="717" t="s">
        <v>193</v>
      </c>
      <c r="C5" s="739"/>
      <c r="D5" s="740"/>
      <c r="E5" s="740"/>
      <c r="F5" s="740"/>
      <c r="G5" s="740"/>
      <c r="H5" s="740"/>
      <c r="I5" s="742"/>
      <c r="J5" s="742"/>
      <c r="K5" s="742"/>
      <c r="L5" s="742"/>
      <c r="M5" s="743"/>
    </row>
    <row r="6" spans="1:14">
      <c r="B6" s="744" t="s">
        <v>179</v>
      </c>
      <c r="C6" s="745"/>
      <c r="D6" s="746" t="e">
        <f>'IS - Pond'!D46</f>
        <v>#VALUE!</v>
      </c>
      <c r="E6" s="746" t="e">
        <f>'IS - Pond'!E46</f>
        <v>#VALUE!</v>
      </c>
      <c r="F6" s="746" t="e">
        <f>'IS - Pond'!F46</f>
        <v>#VALUE!</v>
      </c>
      <c r="G6" s="746" t="e">
        <f>'IS - Pond'!G46</f>
        <v>#VALUE!</v>
      </c>
      <c r="H6" s="746" t="e">
        <f>'IS - Pond'!H46</f>
        <v>#VALUE!</v>
      </c>
      <c r="I6" s="746" t="e">
        <f>'IS - Pond'!I46</f>
        <v>#VALUE!</v>
      </c>
      <c r="J6" s="746" t="e">
        <f>'IS - Pond'!J46</f>
        <v>#VALUE!</v>
      </c>
      <c r="K6" s="746" t="e">
        <f>'IS - Pond'!K46</f>
        <v>#VALUE!</v>
      </c>
      <c r="L6" s="746" t="e">
        <f>'IS - Pond'!L46</f>
        <v>#VALUE!</v>
      </c>
      <c r="M6" s="746" t="e">
        <f>'IS - Pond'!M46</f>
        <v>#VALUE!</v>
      </c>
      <c r="N6" s="709"/>
    </row>
    <row r="7" spans="1:14" ht="13.5" thickBot="1">
      <c r="B7" s="747" t="s">
        <v>178</v>
      </c>
      <c r="C7" s="748"/>
      <c r="D7" s="749" t="e">
        <f>-'IS - Pond'!D44</f>
        <v>#VALUE!</v>
      </c>
      <c r="E7" s="749" t="e">
        <f>-'IS - Pond'!E44</f>
        <v>#VALUE!</v>
      </c>
      <c r="F7" s="749" t="e">
        <f>-'IS - Pond'!F44</f>
        <v>#VALUE!</v>
      </c>
      <c r="G7" s="749" t="e">
        <f>-'IS - Pond'!G44</f>
        <v>#VALUE!</v>
      </c>
      <c r="H7" s="749" t="e">
        <f>-'IS - Pond'!H44</f>
        <v>#VALUE!</v>
      </c>
      <c r="I7" s="749" t="e">
        <f>-'IS - Pond'!I44</f>
        <v>#VALUE!</v>
      </c>
      <c r="J7" s="749" t="e">
        <f>-'IS - Pond'!J44</f>
        <v>#VALUE!</v>
      </c>
      <c r="K7" s="749" t="e">
        <f>-'IS - Pond'!K44</f>
        <v>#VALUE!</v>
      </c>
      <c r="L7" s="749" t="e">
        <f>-'IS - Pond'!L44</f>
        <v>#VALUE!</v>
      </c>
      <c r="M7" s="749" t="e">
        <f>-'IS - Pond'!M44</f>
        <v>#VALUE!</v>
      </c>
    </row>
    <row r="8" spans="1:14" ht="13.5" thickBot="1">
      <c r="B8" s="717" t="s">
        <v>194</v>
      </c>
      <c r="C8" s="739"/>
      <c r="D8" s="740"/>
      <c r="E8" s="740"/>
      <c r="F8" s="740"/>
      <c r="G8" s="740"/>
      <c r="H8" s="740"/>
      <c r="I8" s="740"/>
      <c r="J8" s="740"/>
      <c r="K8" s="740"/>
      <c r="L8" s="740"/>
      <c r="M8" s="741"/>
    </row>
    <row r="9" spans="1:14" ht="13.5" thickBot="1">
      <c r="B9" s="720" t="s">
        <v>274</v>
      </c>
      <c r="C9" s="721"/>
      <c r="D9" s="713">
        <f>IF(Interface!$H$16="DEBT",'Loan Int &amp; Bal - Pond'!B4,0)</f>
        <v>0</v>
      </c>
      <c r="E9" s="713">
        <f>IF(Interface!$H$16="DEBT",'Loan Int &amp; Bal - Pond'!C4,0)</f>
        <v>0</v>
      </c>
      <c r="F9" s="713">
        <f>IF(Interface!$H$16="DEBT",'Loan Int &amp; Bal - Pond'!D4,0)</f>
        <v>0</v>
      </c>
      <c r="G9" s="713">
        <f>IF(Interface!$H$16="DEBT",'Loan Int &amp; Bal - Pond'!E4,0)</f>
        <v>0</v>
      </c>
      <c r="H9" s="713">
        <f>IF(Interface!$H$16="DEBT",'Loan Int &amp; Bal - Pond'!F4,0)</f>
        <v>0</v>
      </c>
      <c r="I9" s="713">
        <f>IF(Interface!$H$16="DEBT",'Loan Int &amp; Bal - Pond'!G4,0)</f>
        <v>0</v>
      </c>
      <c r="J9" s="713">
        <f>IF(Interface!$H$16="DEBT",'Loan Int &amp; Bal - Pond'!H4,0)</f>
        <v>0</v>
      </c>
      <c r="K9" s="713">
        <f>IF(Interface!$H$16="DEBT",'Loan Int &amp; Bal - Pond'!I4,0)</f>
        <v>0</v>
      </c>
      <c r="L9" s="713">
        <f>IF(Interface!$H$16="DEBT",'Loan Int &amp; Bal - Pond'!J4,0)</f>
        <v>0</v>
      </c>
      <c r="M9" s="713">
        <f>IF(Interface!$H$16="DEBT",'Loan Int &amp; Bal - Pond'!K4,0)</f>
        <v>0</v>
      </c>
    </row>
    <row r="10" spans="1:14" ht="13.5" thickBot="1">
      <c r="B10" s="722" t="s">
        <v>176</v>
      </c>
      <c r="C10" s="723"/>
      <c r="D10" s="714" t="e">
        <f>-'IS - Pond'!D39</f>
        <v>#VALUE!</v>
      </c>
      <c r="E10" s="714" t="e">
        <f>-'IS - Pond'!E39</f>
        <v>#VALUE!</v>
      </c>
      <c r="F10" s="714" t="e">
        <f>-'IS - Pond'!F39</f>
        <v>#VALUE!</v>
      </c>
      <c r="G10" s="714" t="e">
        <f>-'IS - Pond'!G39</f>
        <v>#VALUE!</v>
      </c>
      <c r="H10" s="714" t="e">
        <f>-'IS - Pond'!H39</f>
        <v>#VALUE!</v>
      </c>
      <c r="I10" s="714" t="e">
        <f>-'IS - Pond'!I39</f>
        <v>#VALUE!</v>
      </c>
      <c r="J10" s="714" t="e">
        <f>-'IS - Pond'!J39</f>
        <v>#VALUE!</v>
      </c>
      <c r="K10" s="714" t="e">
        <f>-'IS - Pond'!K39</f>
        <v>#VALUE!</v>
      </c>
      <c r="L10" s="714" t="e">
        <f>-'IS - Pond'!L39</f>
        <v>#VALUE!</v>
      </c>
      <c r="M10" s="714" t="e">
        <f>-'IS - Pond'!M39</f>
        <v>#VALUE!</v>
      </c>
      <c r="N10" s="709"/>
    </row>
    <row r="11" spans="1:14" ht="13.5" thickBot="1">
      <c r="B11" s="724" t="s">
        <v>195</v>
      </c>
      <c r="C11" s="734"/>
      <c r="D11" s="735"/>
      <c r="E11" s="735"/>
      <c r="F11" s="735"/>
      <c r="G11" s="735"/>
      <c r="H11" s="735"/>
      <c r="I11" s="735"/>
      <c r="J11" s="735"/>
      <c r="K11" s="735"/>
      <c r="L11" s="735"/>
      <c r="M11" s="736"/>
    </row>
    <row r="12" spans="1:14">
      <c r="B12" s="744" t="s">
        <v>185</v>
      </c>
      <c r="C12" s="745"/>
      <c r="D12" s="746">
        <v>0</v>
      </c>
      <c r="E12" s="746">
        <v>0</v>
      </c>
      <c r="F12" s="746">
        <v>0</v>
      </c>
      <c r="G12" s="746">
        <v>0</v>
      </c>
      <c r="H12" s="746">
        <v>0</v>
      </c>
      <c r="I12" s="746">
        <v>0</v>
      </c>
      <c r="J12" s="746">
        <v>0</v>
      </c>
      <c r="K12" s="746">
        <v>0</v>
      </c>
      <c r="L12" s="746">
        <v>0</v>
      </c>
      <c r="M12" s="746">
        <v>0</v>
      </c>
    </row>
    <row r="13" spans="1:14">
      <c r="B13" s="750" t="s">
        <v>196</v>
      </c>
      <c r="C13" s="751"/>
      <c r="D13" s="752" t="e">
        <f>-'BS - Pond'!C9</f>
        <v>#VALUE!</v>
      </c>
      <c r="E13" s="752" t="e">
        <f>'Production Assumptions'!C56-'Production Assumptions'!D56</f>
        <v>#VALUE!</v>
      </c>
      <c r="F13" s="752" t="e">
        <f>'Production Assumptions'!D56-'Production Assumptions'!E56</f>
        <v>#VALUE!</v>
      </c>
      <c r="G13" s="752" t="e">
        <f>'Production Assumptions'!E56-'Production Assumptions'!F56</f>
        <v>#VALUE!</v>
      </c>
      <c r="H13" s="752" t="e">
        <f>'Production Assumptions'!F56-'Production Assumptions'!G56</f>
        <v>#VALUE!</v>
      </c>
      <c r="I13" s="752" t="e">
        <f>'Production Assumptions'!G56-'Production Assumptions'!H56</f>
        <v>#VALUE!</v>
      </c>
      <c r="J13" s="752" t="e">
        <f>'Production Assumptions'!H56-'Production Assumptions'!I56</f>
        <v>#VALUE!</v>
      </c>
      <c r="K13" s="752" t="e">
        <f>'Production Assumptions'!I56-'Production Assumptions'!J56</f>
        <v>#VALUE!</v>
      </c>
      <c r="L13" s="752" t="e">
        <f>'Production Assumptions'!J56-'Production Assumptions'!K55</f>
        <v>#VALUE!</v>
      </c>
      <c r="M13" s="752" t="e">
        <f>'Production Assumptions'!K55-'Production Assumptions'!L55</f>
        <v>#VALUE!</v>
      </c>
    </row>
    <row r="14" spans="1:14" ht="13.5" thickBot="1">
      <c r="B14" s="747" t="s">
        <v>197</v>
      </c>
      <c r="C14" s="748"/>
      <c r="D14" s="749">
        <v>0</v>
      </c>
      <c r="E14" s="749">
        <v>0</v>
      </c>
      <c r="F14" s="749">
        <v>0</v>
      </c>
      <c r="G14" s="749">
        <v>0</v>
      </c>
      <c r="H14" s="749">
        <v>0</v>
      </c>
      <c r="I14" s="749">
        <v>0</v>
      </c>
      <c r="J14" s="749">
        <v>0</v>
      </c>
      <c r="K14" s="749">
        <v>0</v>
      </c>
      <c r="L14" s="749">
        <v>0</v>
      </c>
      <c r="M14" s="749">
        <v>0</v>
      </c>
    </row>
    <row r="15" spans="1:14">
      <c r="B15" s="890" t="s">
        <v>198</v>
      </c>
      <c r="C15" s="891"/>
      <c r="D15" s="746" t="e">
        <f t="shared" ref="D15:M15" si="0">SUM(D5:D14)</f>
        <v>#VALUE!</v>
      </c>
      <c r="E15" s="746" t="e">
        <f t="shared" si="0"/>
        <v>#VALUE!</v>
      </c>
      <c r="F15" s="746" t="e">
        <f t="shared" si="0"/>
        <v>#VALUE!</v>
      </c>
      <c r="G15" s="746" t="e">
        <f t="shared" si="0"/>
        <v>#VALUE!</v>
      </c>
      <c r="H15" s="746" t="e">
        <f t="shared" si="0"/>
        <v>#VALUE!</v>
      </c>
      <c r="I15" s="746" t="e">
        <f t="shared" si="0"/>
        <v>#VALUE!</v>
      </c>
      <c r="J15" s="746" t="e">
        <f t="shared" si="0"/>
        <v>#VALUE!</v>
      </c>
      <c r="K15" s="746" t="e">
        <f t="shared" si="0"/>
        <v>#VALUE!</v>
      </c>
      <c r="L15" s="746" t="e">
        <f t="shared" si="0"/>
        <v>#VALUE!</v>
      </c>
      <c r="M15" s="746" t="e">
        <f t="shared" si="0"/>
        <v>#VALUE!</v>
      </c>
    </row>
    <row r="16" spans="1:14">
      <c r="B16" s="753" t="s">
        <v>199</v>
      </c>
      <c r="C16" s="754"/>
      <c r="D16" s="752">
        <f>IF(Interface!$H$16="DEBT",-'Loan Int &amp; Bal - Pond'!B4,0)</f>
        <v>0</v>
      </c>
      <c r="E16" s="752">
        <f>IF(Interface!$H$16="DEBT",-'Loan Int &amp; Bal - Pond'!C4,0)</f>
        <v>0</v>
      </c>
      <c r="F16" s="752">
        <f>IF(Interface!$H$16="DEBT",-'Loan Int &amp; Bal - Pond'!D4,0)</f>
        <v>0</v>
      </c>
      <c r="G16" s="752">
        <f>IF(Interface!$H$16="DEBT",-'Loan Int &amp; Bal - Pond'!E4,0)</f>
        <v>0</v>
      </c>
      <c r="H16" s="752">
        <f>IF(Interface!$H$16="DEBT",-'Loan Int &amp; Bal - Pond'!F4,0)</f>
        <v>0</v>
      </c>
      <c r="I16" s="752">
        <f>IF(Interface!$H$16="DEBT",-'Loan Int &amp; Bal - Pond'!G4,0)</f>
        <v>0</v>
      </c>
      <c r="J16" s="752">
        <f>IF(Interface!$H$16="DEBT",-'Loan Int &amp; Bal - Pond'!H4,0)</f>
        <v>0</v>
      </c>
      <c r="K16" s="752">
        <f>IF(Interface!$H$16="DEBT",-'Loan Int &amp; Bal - Pond'!I4,0)</f>
        <v>0</v>
      </c>
      <c r="L16" s="752">
        <f>IF(Interface!$H$16="DEBT",-'Loan Int &amp; Bal - Pond'!J4,0)</f>
        <v>0</v>
      </c>
      <c r="M16" s="752">
        <f>IF(Interface!$H$16="DEBT",-'Loan Int &amp; Bal - Pond'!K4,0)</f>
        <v>0</v>
      </c>
    </row>
    <row r="17" spans="2:13" ht="13.5" thickBot="1">
      <c r="B17" s="756" t="s">
        <v>200</v>
      </c>
      <c r="C17" s="757"/>
      <c r="D17" s="749">
        <v>0</v>
      </c>
      <c r="E17" s="749">
        <v>0</v>
      </c>
      <c r="F17" s="749">
        <v>0</v>
      </c>
      <c r="G17" s="749">
        <v>0</v>
      </c>
      <c r="H17" s="749">
        <v>0</v>
      </c>
      <c r="I17" s="749">
        <v>0</v>
      </c>
      <c r="J17" s="749">
        <v>0</v>
      </c>
      <c r="K17" s="749">
        <v>0</v>
      </c>
      <c r="L17" s="749">
        <v>0</v>
      </c>
      <c r="M17" s="749">
        <v>0</v>
      </c>
    </row>
    <row r="18" spans="2:13" ht="13.5" thickBot="1">
      <c r="B18" s="727" t="s">
        <v>201</v>
      </c>
      <c r="C18" s="728"/>
      <c r="D18" s="715" t="e">
        <f>SUM(D15:D17)</f>
        <v>#VALUE!</v>
      </c>
      <c r="E18" s="715" t="e">
        <f t="shared" ref="E18:M18" si="1">SUM(E15:E17)</f>
        <v>#VALUE!</v>
      </c>
      <c r="F18" s="715" t="e">
        <f t="shared" si="1"/>
        <v>#VALUE!</v>
      </c>
      <c r="G18" s="715" t="e">
        <f t="shared" si="1"/>
        <v>#VALUE!</v>
      </c>
      <c r="H18" s="715" t="e">
        <f t="shared" si="1"/>
        <v>#VALUE!</v>
      </c>
      <c r="I18" s="715" t="e">
        <f t="shared" si="1"/>
        <v>#VALUE!</v>
      </c>
      <c r="J18" s="715" t="e">
        <f t="shared" si="1"/>
        <v>#VALUE!</v>
      </c>
      <c r="K18" s="715" t="e">
        <f t="shared" si="1"/>
        <v>#VALUE!</v>
      </c>
      <c r="L18" s="715" t="e">
        <f t="shared" si="1"/>
        <v>#VALUE!</v>
      </c>
      <c r="M18" s="715" t="e">
        <f t="shared" si="1"/>
        <v>#VALUE!</v>
      </c>
    </row>
    <row r="19" spans="2:13" s="468" customFormat="1" ht="13.5" thickBot="1">
      <c r="B19" s="758"/>
      <c r="C19" s="758"/>
      <c r="D19" s="759"/>
      <c r="E19" s="759"/>
      <c r="F19" s="759"/>
      <c r="G19" s="759"/>
      <c r="H19" s="759"/>
      <c r="I19" s="759"/>
      <c r="J19" s="759"/>
      <c r="K19" s="759"/>
      <c r="L19" s="759"/>
      <c r="M19" s="759"/>
    </row>
    <row r="20" spans="2:13" ht="13.5" thickBot="1">
      <c r="B20" s="724" t="s">
        <v>202</v>
      </c>
      <c r="C20" s="734"/>
      <c r="D20" s="737"/>
      <c r="E20" s="737"/>
      <c r="F20" s="737"/>
      <c r="G20" s="737"/>
      <c r="H20" s="737"/>
      <c r="I20" s="737"/>
      <c r="J20" s="737"/>
      <c r="K20" s="737"/>
      <c r="L20" s="737"/>
      <c r="M20" s="738"/>
    </row>
    <row r="21" spans="2:13" ht="13.5" thickBot="1">
      <c r="B21" s="718" t="s">
        <v>203</v>
      </c>
      <c r="C21" s="719"/>
      <c r="D21" s="712" t="e">
        <f>-CAPEX!Q28</f>
        <v>#VALUE!</v>
      </c>
      <c r="E21" s="712">
        <v>0</v>
      </c>
      <c r="F21" s="712">
        <v>0</v>
      </c>
      <c r="G21" s="712">
        <v>0</v>
      </c>
      <c r="H21" s="712">
        <v>0</v>
      </c>
      <c r="I21" s="712">
        <v>0</v>
      </c>
      <c r="J21" s="712">
        <v>0</v>
      </c>
      <c r="K21" s="712">
        <v>0</v>
      </c>
      <c r="L21" s="712">
        <v>0</v>
      </c>
      <c r="M21" s="712">
        <v>0</v>
      </c>
    </row>
    <row r="22" spans="2:13" ht="13.5" thickBot="1">
      <c r="B22" s="727" t="s">
        <v>204</v>
      </c>
      <c r="C22" s="728"/>
      <c r="D22" s="716" t="e">
        <f>D21</f>
        <v>#VALUE!</v>
      </c>
      <c r="E22" s="716">
        <f t="shared" ref="E22:M22" si="2">E21</f>
        <v>0</v>
      </c>
      <c r="F22" s="716">
        <f t="shared" si="2"/>
        <v>0</v>
      </c>
      <c r="G22" s="716">
        <f t="shared" si="2"/>
        <v>0</v>
      </c>
      <c r="H22" s="716">
        <f t="shared" si="2"/>
        <v>0</v>
      </c>
      <c r="I22" s="716">
        <f t="shared" si="2"/>
        <v>0</v>
      </c>
      <c r="J22" s="716">
        <f t="shared" si="2"/>
        <v>0</v>
      </c>
      <c r="K22" s="716">
        <f t="shared" si="2"/>
        <v>0</v>
      </c>
      <c r="L22" s="716">
        <f t="shared" si="2"/>
        <v>0</v>
      </c>
      <c r="M22" s="716">
        <f t="shared" si="2"/>
        <v>0</v>
      </c>
    </row>
    <row r="23" spans="2:13" s="468" customFormat="1" ht="13.5" thickBot="1">
      <c r="B23" s="758"/>
      <c r="C23" s="758"/>
      <c r="D23" s="759"/>
      <c r="E23" s="759"/>
      <c r="F23" s="759"/>
      <c r="G23" s="759"/>
      <c r="H23" s="759"/>
      <c r="I23" s="759"/>
      <c r="J23" s="759"/>
      <c r="K23" s="759"/>
      <c r="L23" s="759"/>
      <c r="M23" s="759"/>
    </row>
    <row r="24" spans="2:13" ht="13.5" thickBot="1">
      <c r="B24" s="724" t="s">
        <v>205</v>
      </c>
      <c r="C24" s="734"/>
      <c r="D24" s="735"/>
      <c r="E24" s="735"/>
      <c r="F24" s="735"/>
      <c r="G24" s="735"/>
      <c r="H24" s="735"/>
      <c r="I24" s="735"/>
      <c r="J24" s="735"/>
      <c r="K24" s="735"/>
      <c r="L24" s="735"/>
      <c r="M24" s="736"/>
    </row>
    <row r="25" spans="2:13">
      <c r="B25" s="744" t="s">
        <v>206</v>
      </c>
      <c r="C25" s="745"/>
      <c r="D25" s="746">
        <v>0</v>
      </c>
      <c r="E25" s="746">
        <v>0</v>
      </c>
      <c r="F25" s="746">
        <v>0</v>
      </c>
      <c r="G25" s="746">
        <v>0</v>
      </c>
      <c r="H25" s="746">
        <v>0</v>
      </c>
      <c r="I25" s="746">
        <v>0</v>
      </c>
      <c r="J25" s="746">
        <v>0</v>
      </c>
      <c r="K25" s="746">
        <v>0</v>
      </c>
      <c r="L25" s="746">
        <v>0</v>
      </c>
      <c r="M25" s="746">
        <v>0</v>
      </c>
    </row>
    <row r="26" spans="2:13">
      <c r="B26" s="750" t="s">
        <v>289</v>
      </c>
      <c r="C26" s="751"/>
      <c r="D26" s="752">
        <f>IF(Interface!$H$16="EQUITY",CAPEX!$Q$28+'Working Capital - Pond'!$C$34,IF(Interface!$H$16="Debt/Equity",(CAPEX!$Q$28+'Working Capital - Pond'!$C$34)*(100%-Interface!$I$16),0))</f>
        <v>0</v>
      </c>
      <c r="E26" s="752"/>
      <c r="F26" s="752"/>
      <c r="G26" s="752"/>
      <c r="H26" s="752"/>
      <c r="I26" s="752"/>
      <c r="J26" s="752"/>
      <c r="K26" s="752"/>
      <c r="L26" s="752"/>
      <c r="M26" s="752"/>
    </row>
    <row r="27" spans="2:13">
      <c r="B27" s="750" t="s">
        <v>272</v>
      </c>
      <c r="C27" s="751"/>
      <c r="D27" s="752">
        <f>IF(Interface!H16="DEBT",(CAPEX!$Q$28+'Working Capital - Pond'!C34),IF(Interface!H16="DEBT/EQUITY",(CAPEX!$Q$28+'Working Capital - Pond'!C34)*Interface!$I$16,0))</f>
        <v>0</v>
      </c>
      <c r="E27" s="752">
        <v>0</v>
      </c>
      <c r="F27" s="752">
        <v>0</v>
      </c>
      <c r="G27" s="752">
        <v>0</v>
      </c>
      <c r="H27" s="752">
        <v>0</v>
      </c>
      <c r="I27" s="752">
        <v>0</v>
      </c>
      <c r="J27" s="752">
        <v>0</v>
      </c>
      <c r="K27" s="752">
        <v>0</v>
      </c>
      <c r="L27" s="752">
        <v>0</v>
      </c>
      <c r="M27" s="752">
        <v>0</v>
      </c>
    </row>
    <row r="28" spans="2:13" ht="13.5" thickBot="1">
      <c r="B28" s="747" t="s">
        <v>273</v>
      </c>
      <c r="C28" s="748"/>
      <c r="D28" s="749">
        <f>IF(Interface!$H$16="DEBT",-'Loan Int &amp; Bal - Pond'!B6+'Loan Int &amp; Bal - Pond'!B4,IF(Interface!$H$16="DEBT/EQUITY",-'Loan Int &amp; Bal - Pond'!B6+'Loan Int &amp; Bal - Pond'!B4,0))</f>
        <v>0</v>
      </c>
      <c r="E28" s="749">
        <f>IF(Interface!$H$16="DEBT",-'Loan Int &amp; Bal - Pond'!C6+'Loan Int &amp; Bal - Pond'!C4,IF(Interface!$H$16="DEBT/EQUITY",-'Loan Int &amp; Bal - Pond'!C6+'Loan Int &amp; Bal - Pond'!C4,0))</f>
        <v>0</v>
      </c>
      <c r="F28" s="749">
        <f>IF(Interface!$H$16="DEBT",-'Loan Int &amp; Bal - Pond'!D6+'Loan Int &amp; Bal - Pond'!D4,IF(Interface!$H$16="DEBT/EQUITY",-'Loan Int &amp; Bal - Pond'!D6+'Loan Int &amp; Bal - Pond'!D4,0))</f>
        <v>0</v>
      </c>
      <c r="G28" s="749">
        <f>IF(Interface!$H$16="DEBT",-'Loan Int &amp; Bal - Pond'!E6+'Loan Int &amp; Bal - Pond'!E4,IF(Interface!$H$16="DEBT/EQUITY",-'Loan Int &amp; Bal - Pond'!E6+'Loan Int &amp; Bal - Pond'!E4,0))</f>
        <v>0</v>
      </c>
      <c r="H28" s="749">
        <f>IF(Interface!$H$16="DEBT",-'Loan Int &amp; Bal - Pond'!F6+'Loan Int &amp; Bal - Pond'!F4,IF(Interface!$H$16="DEBT/EQUITY",-'Loan Int &amp; Bal - Pond'!F6+'Loan Int &amp; Bal - Pond'!F4,0))</f>
        <v>0</v>
      </c>
      <c r="I28" s="749">
        <f>IF(Interface!$H$16="DEBT",-'Loan Int &amp; Bal - Pond'!G6+'Loan Int &amp; Bal - Pond'!G4,IF(Interface!$H$16="DEBT/EQUITY",-'Loan Int &amp; Bal - Pond'!G6+'Loan Int &amp; Bal - Pond'!G4,0))</f>
        <v>0</v>
      </c>
      <c r="J28" s="749">
        <f>IF(Interface!$H$16="DEBT",-'Loan Int &amp; Bal - Pond'!H6+'Loan Int &amp; Bal - Pond'!H4,IF(Interface!$H$16="DEBT/EQUITY",-'Loan Int &amp; Bal - Pond'!H6+'Loan Int &amp; Bal - Pond'!H4,0))</f>
        <v>0</v>
      </c>
      <c r="K28" s="749">
        <f>IF(Interface!$H$16="DEBT",-'Loan Int &amp; Bal - Pond'!I6+'Loan Int &amp; Bal - Pond'!I4,IF(Interface!$H$16="DEBT/EQUITY",-'Loan Int &amp; Bal - Pond'!I6+'Loan Int &amp; Bal - Pond'!I4,0))</f>
        <v>0</v>
      </c>
      <c r="L28" s="749">
        <f>IF(Interface!$H$16="DEBT",-'Loan Int &amp; Bal - Pond'!J6+'Loan Int &amp; Bal - Pond'!J4,IF(Interface!$H$16="DEBT/EQUITY",-'Loan Int &amp; Bal - Pond'!J6+'Loan Int &amp; Bal - Pond'!J4,0))</f>
        <v>0</v>
      </c>
      <c r="M28" s="749">
        <f>IF(Interface!$H$16="DEBT",-'Loan Int &amp; Bal - Pond'!K6+'Loan Int &amp; Bal - Pond'!K4,IF(Interface!$H$16="DEBT/EQUITY",-'Loan Int &amp; Bal - Pond'!K6+'Loan Int &amp; Bal - Pond'!K4,0))</f>
        <v>0</v>
      </c>
    </row>
    <row r="29" spans="2:13" ht="13.5" thickBot="1">
      <c r="B29" s="729" t="s">
        <v>207</v>
      </c>
      <c r="C29" s="730"/>
      <c r="D29" s="716">
        <f>SUM(D25:D28)</f>
        <v>0</v>
      </c>
      <c r="E29" s="716">
        <f t="shared" ref="E29:M29" si="3">SUM(E25:E28)</f>
        <v>0</v>
      </c>
      <c r="F29" s="716">
        <f t="shared" si="3"/>
        <v>0</v>
      </c>
      <c r="G29" s="716">
        <f t="shared" si="3"/>
        <v>0</v>
      </c>
      <c r="H29" s="716">
        <f t="shared" si="3"/>
        <v>0</v>
      </c>
      <c r="I29" s="716">
        <f t="shared" si="3"/>
        <v>0</v>
      </c>
      <c r="J29" s="716">
        <f t="shared" si="3"/>
        <v>0</v>
      </c>
      <c r="K29" s="716">
        <f t="shared" si="3"/>
        <v>0</v>
      </c>
      <c r="L29" s="716">
        <f t="shared" si="3"/>
        <v>0</v>
      </c>
      <c r="M29" s="716">
        <f t="shared" si="3"/>
        <v>0</v>
      </c>
    </row>
    <row r="30" spans="2:13" s="468" customFormat="1" ht="13.5" thickBot="1">
      <c r="B30" s="760"/>
      <c r="C30" s="760"/>
      <c r="D30" s="761"/>
      <c r="E30" s="761"/>
      <c r="F30" s="761"/>
      <c r="G30" s="761"/>
      <c r="H30" s="761"/>
      <c r="I30" s="761"/>
      <c r="J30" s="761"/>
      <c r="K30" s="761"/>
      <c r="L30" s="761"/>
      <c r="M30" s="761"/>
    </row>
    <row r="31" spans="2:13" ht="13.5" thickBot="1">
      <c r="B31" s="725" t="s">
        <v>208</v>
      </c>
      <c r="C31" s="726"/>
      <c r="D31" s="712" t="e">
        <f>D29+D22+D18</f>
        <v>#VALUE!</v>
      </c>
      <c r="E31" s="712" t="e">
        <f t="shared" ref="E31:M31" si="4">E29+E22+E18</f>
        <v>#VALUE!</v>
      </c>
      <c r="F31" s="712" t="e">
        <f t="shared" si="4"/>
        <v>#VALUE!</v>
      </c>
      <c r="G31" s="712" t="e">
        <f t="shared" si="4"/>
        <v>#VALUE!</v>
      </c>
      <c r="H31" s="712" t="e">
        <f t="shared" si="4"/>
        <v>#VALUE!</v>
      </c>
      <c r="I31" s="712" t="e">
        <f t="shared" si="4"/>
        <v>#VALUE!</v>
      </c>
      <c r="J31" s="712" t="e">
        <f t="shared" si="4"/>
        <v>#VALUE!</v>
      </c>
      <c r="K31" s="712" t="e">
        <f t="shared" si="4"/>
        <v>#VALUE!</v>
      </c>
      <c r="L31" s="712" t="e">
        <f t="shared" si="4"/>
        <v>#VALUE!</v>
      </c>
      <c r="M31" s="712" t="e">
        <f t="shared" si="4"/>
        <v>#VALUE!</v>
      </c>
    </row>
    <row r="32" spans="2:13" s="468" customFormat="1" ht="13.5" thickBot="1">
      <c r="B32" s="760"/>
      <c r="C32" s="760"/>
      <c r="D32" s="761"/>
      <c r="E32" s="761"/>
      <c r="F32" s="761"/>
      <c r="G32" s="761"/>
      <c r="H32" s="761"/>
      <c r="I32" s="761"/>
      <c r="J32" s="761"/>
      <c r="K32" s="761"/>
      <c r="L32" s="761"/>
      <c r="M32" s="761"/>
    </row>
    <row r="33" spans="2:14" ht="13.5" thickBot="1">
      <c r="B33" s="725" t="s">
        <v>209</v>
      </c>
      <c r="C33" s="726"/>
      <c r="D33" s="712">
        <v>0</v>
      </c>
      <c r="E33" s="712" t="e">
        <f>D35</f>
        <v>#VALUE!</v>
      </c>
      <c r="F33" s="712" t="e">
        <f t="shared" ref="F33:M33" si="5">E35</f>
        <v>#VALUE!</v>
      </c>
      <c r="G33" s="712" t="e">
        <f t="shared" si="5"/>
        <v>#VALUE!</v>
      </c>
      <c r="H33" s="712" t="e">
        <f t="shared" si="5"/>
        <v>#VALUE!</v>
      </c>
      <c r="I33" s="712" t="e">
        <f t="shared" si="5"/>
        <v>#VALUE!</v>
      </c>
      <c r="J33" s="712" t="e">
        <f t="shared" si="5"/>
        <v>#VALUE!</v>
      </c>
      <c r="K33" s="712" t="e">
        <f t="shared" si="5"/>
        <v>#VALUE!</v>
      </c>
      <c r="L33" s="712" t="e">
        <f t="shared" si="5"/>
        <v>#VALUE!</v>
      </c>
      <c r="M33" s="712" t="e">
        <f t="shared" si="5"/>
        <v>#VALUE!</v>
      </c>
    </row>
    <row r="34" spans="2:14" s="468" customFormat="1" ht="13.5" thickBot="1">
      <c r="B34" s="760"/>
      <c r="C34" s="760"/>
      <c r="D34" s="761"/>
      <c r="E34" s="761"/>
      <c r="F34" s="761"/>
      <c r="G34" s="761"/>
      <c r="H34" s="761"/>
      <c r="I34" s="761"/>
      <c r="J34" s="761"/>
      <c r="K34" s="761"/>
      <c r="L34" s="761"/>
      <c r="M34" s="761"/>
    </row>
    <row r="35" spans="2:14" ht="13.5" thickBot="1">
      <c r="B35" s="731" t="s">
        <v>210</v>
      </c>
      <c r="C35" s="892">
        <v>-1</v>
      </c>
      <c r="D35" s="716" t="e">
        <f t="shared" ref="D35:M35" si="6">SUM(D31:D34)</f>
        <v>#VALUE!</v>
      </c>
      <c r="E35" s="716" t="e">
        <f t="shared" si="6"/>
        <v>#VALUE!</v>
      </c>
      <c r="F35" s="716" t="e">
        <f t="shared" si="6"/>
        <v>#VALUE!</v>
      </c>
      <c r="G35" s="716" t="e">
        <f t="shared" si="6"/>
        <v>#VALUE!</v>
      </c>
      <c r="H35" s="716" t="e">
        <f t="shared" si="6"/>
        <v>#VALUE!</v>
      </c>
      <c r="I35" s="716" t="e">
        <f t="shared" si="6"/>
        <v>#VALUE!</v>
      </c>
      <c r="J35" s="716" t="e">
        <f t="shared" si="6"/>
        <v>#VALUE!</v>
      </c>
      <c r="K35" s="716" t="e">
        <f t="shared" si="6"/>
        <v>#VALUE!</v>
      </c>
      <c r="L35" s="716" t="e">
        <f t="shared" si="6"/>
        <v>#VALUE!</v>
      </c>
      <c r="M35" s="716" t="e">
        <f t="shared" si="6"/>
        <v>#VALUE!</v>
      </c>
      <c r="N35" s="515">
        <v>1</v>
      </c>
    </row>
    <row r="36" spans="2:14">
      <c r="B36" s="733" t="s">
        <v>211</v>
      </c>
      <c r="C36" s="733"/>
      <c r="D36" s="710" t="e">
        <f>D35-'BS - Pond'!C10</f>
        <v>#VALUE!</v>
      </c>
      <c r="E36" s="710" t="e">
        <f>E35-'BS - Pond'!D10</f>
        <v>#VALUE!</v>
      </c>
      <c r="F36" s="710" t="e">
        <f>F35-'BS - Pond'!E10</f>
        <v>#VALUE!</v>
      </c>
      <c r="G36" s="710" t="e">
        <f>G35-'BS - Pond'!F10</f>
        <v>#VALUE!</v>
      </c>
      <c r="H36" s="710" t="e">
        <f>H35-'BS - Pond'!G10</f>
        <v>#VALUE!</v>
      </c>
      <c r="I36" s="710" t="e">
        <f>I35-'BS - Pond'!H10</f>
        <v>#VALUE!</v>
      </c>
      <c r="J36" s="710" t="e">
        <f>J35-'BS - Pond'!I10</f>
        <v>#VALUE!</v>
      </c>
      <c r="K36" s="710" t="e">
        <f>K35-'BS - Pond'!J10</f>
        <v>#VALUE!</v>
      </c>
      <c r="L36" s="710" t="e">
        <f>L35-'BS - Pond'!K10</f>
        <v>#VALUE!</v>
      </c>
      <c r="M36" s="710" t="e">
        <f>M35-'BS - Pond'!L10</f>
        <v>#VALUE!</v>
      </c>
    </row>
    <row r="37" spans="2:14">
      <c r="B37" s="733"/>
      <c r="C37" s="733"/>
      <c r="D37" s="707" t="e">
        <f>IF(ABS(D36)&lt;0.00001,"OK","ERROR")</f>
        <v>#VALUE!</v>
      </c>
      <c r="E37" s="707" t="e">
        <f t="shared" ref="E37:M37" si="7">IF(ABS(E36)&lt;0.00001,"OK","ERROR")</f>
        <v>#VALUE!</v>
      </c>
      <c r="F37" s="707" t="e">
        <f t="shared" si="7"/>
        <v>#VALUE!</v>
      </c>
      <c r="G37" s="707" t="e">
        <f t="shared" si="7"/>
        <v>#VALUE!</v>
      </c>
      <c r="H37" s="707" t="e">
        <f t="shared" si="7"/>
        <v>#VALUE!</v>
      </c>
      <c r="I37" s="707" t="e">
        <f t="shared" si="7"/>
        <v>#VALUE!</v>
      </c>
      <c r="J37" s="707" t="e">
        <f t="shared" si="7"/>
        <v>#VALUE!</v>
      </c>
      <c r="K37" s="707" t="e">
        <f t="shared" si="7"/>
        <v>#VALUE!</v>
      </c>
      <c r="L37" s="707" t="e">
        <f t="shared" si="7"/>
        <v>#VALUE!</v>
      </c>
      <c r="M37" s="707" t="e">
        <f t="shared" si="7"/>
        <v>#VALUE!</v>
      </c>
    </row>
  </sheetData>
  <mergeCells count="3">
    <mergeCell ref="D3:M3"/>
    <mergeCell ref="B3:C4"/>
    <mergeCell ref="A1:XFD1"/>
  </mergeCells>
  <conditionalFormatting sqref="D37:M37">
    <cfRule type="cellIs" dxfId="9" priority="1" stopIfTrue="1" operator="equal">
      <formula>"OK"</formula>
    </cfRule>
    <cfRule type="cellIs" dxfId="8" priority="2" stopIfTrue="1" operator="notEqual">
      <formula>"OK"</formula>
    </cfRule>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1004A-D5D3-417A-A651-15EC006BD7FA}">
  <sheetPr codeName="Sheet36">
    <tabColor theme="5" tint="0.39997558519241921"/>
  </sheetPr>
  <dimension ref="A1:F21"/>
  <sheetViews>
    <sheetView zoomScaleNormal="100" workbookViewId="0">
      <selection sqref="A1:XFD1"/>
    </sheetView>
  </sheetViews>
  <sheetFormatPr defaultColWidth="9.140625" defaultRowHeight="15"/>
  <cols>
    <col min="1" max="1" width="3.7109375" style="44" customWidth="1"/>
    <col min="2" max="2" width="1.42578125" style="44" customWidth="1"/>
    <col min="3" max="3" width="19.28515625" style="44" bestFit="1" customWidth="1"/>
    <col min="4" max="4" width="17.5703125" style="44" bestFit="1" customWidth="1"/>
    <col min="5" max="5" width="1.28515625" style="44" customWidth="1"/>
    <col min="6" max="6" width="9.140625" style="44"/>
    <col min="7" max="7" width="12.5703125" style="44" bestFit="1" customWidth="1"/>
    <col min="8" max="9" width="11" style="44" bestFit="1" customWidth="1"/>
    <col min="10" max="12" width="11.28515625" style="44" bestFit="1" customWidth="1"/>
    <col min="13" max="16384" width="9.140625" style="44"/>
  </cols>
  <sheetData>
    <row r="1" spans="1:6" s="1210" customFormat="1">
      <c r="A1" s="1210" t="s">
        <v>443</v>
      </c>
    </row>
    <row r="2" spans="1:6" ht="15.75" thickBot="1"/>
    <row r="3" spans="1:6" ht="6.75" customHeight="1">
      <c r="B3" s="53"/>
      <c r="C3" s="286"/>
      <c r="D3" s="286"/>
      <c r="E3" s="191"/>
    </row>
    <row r="4" spans="1:6" ht="15.75" thickBot="1">
      <c r="B4" s="182"/>
      <c r="C4" s="1191" t="s">
        <v>86</v>
      </c>
      <c r="D4" s="1191"/>
      <c r="E4" s="57"/>
    </row>
    <row r="5" spans="1:6" ht="30.75" thickBot="1">
      <c r="B5" s="182"/>
      <c r="C5" s="97" t="s">
        <v>87</v>
      </c>
      <c r="D5" s="98" t="s">
        <v>88</v>
      </c>
      <c r="E5" s="511"/>
      <c r="F5" s="94"/>
    </row>
    <row r="6" spans="1:6">
      <c r="B6" s="182"/>
      <c r="C6" s="437" t="s">
        <v>89</v>
      </c>
      <c r="D6" s="168">
        <f>-('BS - Pond'!C14+'LOAN - Pond'!B10)</f>
        <v>0</v>
      </c>
      <c r="E6" s="512"/>
      <c r="F6" s="94"/>
    </row>
    <row r="7" spans="1:6">
      <c r="B7" s="182"/>
      <c r="C7" s="45">
        <v>1</v>
      </c>
      <c r="D7" s="169" t="e">
        <f>'CF - Pond'!D35</f>
        <v>#VALUE!</v>
      </c>
      <c r="E7" s="513"/>
    </row>
    <row r="8" spans="1:6">
      <c r="B8" s="182"/>
      <c r="C8" s="45">
        <v>2</v>
      </c>
      <c r="D8" s="169" t="e">
        <f>'CF - Pond'!E35</f>
        <v>#VALUE!</v>
      </c>
      <c r="E8" s="513"/>
    </row>
    <row r="9" spans="1:6">
      <c r="B9" s="182"/>
      <c r="C9" s="45">
        <v>3</v>
      </c>
      <c r="D9" s="169" t="e">
        <f>'CF - Pond'!F35</f>
        <v>#VALUE!</v>
      </c>
      <c r="E9" s="513"/>
    </row>
    <row r="10" spans="1:6">
      <c r="B10" s="182"/>
      <c r="C10" s="45">
        <v>4</v>
      </c>
      <c r="D10" s="169" t="e">
        <f>'CF - Pond'!G35</f>
        <v>#VALUE!</v>
      </c>
      <c r="E10" s="513"/>
    </row>
    <row r="11" spans="1:6">
      <c r="B11" s="182"/>
      <c r="C11" s="45">
        <v>5</v>
      </c>
      <c r="D11" s="169" t="e">
        <f>'CF - Pond'!H35</f>
        <v>#VALUE!</v>
      </c>
      <c r="E11" s="513"/>
    </row>
    <row r="12" spans="1:6">
      <c r="B12" s="182"/>
      <c r="C12" s="45">
        <v>6</v>
      </c>
      <c r="D12" s="169" t="e">
        <f>'CF - Pond'!I35</f>
        <v>#VALUE!</v>
      </c>
      <c r="E12" s="513"/>
    </row>
    <row r="13" spans="1:6">
      <c r="B13" s="182"/>
      <c r="C13" s="45">
        <v>7</v>
      </c>
      <c r="D13" s="169" t="e">
        <f>'CF - Pond'!J35</f>
        <v>#VALUE!</v>
      </c>
      <c r="E13" s="513"/>
    </row>
    <row r="14" spans="1:6">
      <c r="B14" s="182"/>
      <c r="C14" s="45">
        <v>8</v>
      </c>
      <c r="D14" s="169" t="e">
        <f>'CF - Pond'!K35</f>
        <v>#VALUE!</v>
      </c>
      <c r="E14" s="513"/>
    </row>
    <row r="15" spans="1:6">
      <c r="B15" s="182"/>
      <c r="C15" s="45">
        <v>9</v>
      </c>
      <c r="D15" s="169" t="e">
        <f>'CF - Pond'!L35</f>
        <v>#VALUE!</v>
      </c>
      <c r="E15" s="513"/>
    </row>
    <row r="16" spans="1:6">
      <c r="B16" s="182"/>
      <c r="C16" s="45">
        <v>10</v>
      </c>
      <c r="D16" s="169" t="e">
        <f>'CF - Pond'!M35</f>
        <v>#VALUE!</v>
      </c>
      <c r="E16" s="513"/>
    </row>
    <row r="17" spans="2:5" ht="15.75" thickBot="1">
      <c r="B17" s="182"/>
      <c r="C17" s="55"/>
      <c r="D17" s="169"/>
      <c r="E17" s="57"/>
    </row>
    <row r="18" spans="2:5" ht="15.75" thickBot="1">
      <c r="B18" s="182"/>
      <c r="C18" s="55" t="s">
        <v>90</v>
      </c>
      <c r="D18" s="170" t="e">
        <f>SUM(D6:D16)</f>
        <v>#VALUE!</v>
      </c>
      <c r="E18" s="57"/>
    </row>
    <row r="19" spans="2:5" ht="15.75" thickBot="1">
      <c r="B19" s="182"/>
      <c r="C19" s="55"/>
      <c r="D19" s="95"/>
      <c r="E19" s="57"/>
    </row>
    <row r="20" spans="2:5" ht="15.75" thickBot="1">
      <c r="B20" s="182"/>
      <c r="C20" s="55" t="s">
        <v>91</v>
      </c>
      <c r="D20" s="96" t="e">
        <f>IF(D18&gt;0, IRR(D6:D16), 0)</f>
        <v>#VALUE!</v>
      </c>
      <c r="E20" s="57"/>
    </row>
    <row r="21" spans="2:5" ht="15.75" thickBot="1">
      <c r="B21" s="60"/>
      <c r="C21" s="61"/>
      <c r="D21" s="61"/>
      <c r="E21" s="62"/>
    </row>
  </sheetData>
  <mergeCells count="2">
    <mergeCell ref="C4:D4"/>
    <mergeCell ref="A1:XFD1"/>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D05F0-50ED-4FFD-81CA-C77FBBDD950C}">
  <sheetPr codeName="Sheet37">
    <tabColor theme="5" tint="0.39997558519241921"/>
  </sheetPr>
  <dimension ref="A1:J21"/>
  <sheetViews>
    <sheetView workbookViewId="0">
      <selection sqref="A1:XFD1"/>
    </sheetView>
  </sheetViews>
  <sheetFormatPr defaultColWidth="9.140625" defaultRowHeight="15"/>
  <cols>
    <col min="1" max="1" width="2.140625" style="44" customWidth="1"/>
    <col min="2" max="2" width="1.42578125" style="44" customWidth="1"/>
    <col min="3" max="3" width="19.28515625" style="44" bestFit="1" customWidth="1"/>
    <col min="4" max="4" width="17.5703125" style="44" bestFit="1" customWidth="1"/>
    <col min="5" max="5" width="15.85546875" style="44" customWidth="1"/>
    <col min="6" max="6" width="1.28515625" style="44" customWidth="1"/>
    <col min="7" max="16384" width="9.140625" style="44"/>
  </cols>
  <sheetData>
    <row r="1" spans="1:10" s="1210" customFormat="1">
      <c r="A1" s="1210" t="s">
        <v>444</v>
      </c>
    </row>
    <row r="2" spans="1:10" ht="15.75" thickBot="1"/>
    <row r="3" spans="1:10">
      <c r="B3" s="53"/>
      <c r="C3" s="286"/>
      <c r="D3" s="286" t="s">
        <v>92</v>
      </c>
      <c r="E3" s="514">
        <v>7.0000000000000007E-2</v>
      </c>
      <c r="F3" s="191"/>
    </row>
    <row r="4" spans="1:10" ht="15.75" thickBot="1">
      <c r="B4" s="182"/>
      <c r="C4" s="1190" t="s">
        <v>93</v>
      </c>
      <c r="D4" s="1190"/>
      <c r="E4" s="437"/>
      <c r="F4" s="57"/>
    </row>
    <row r="5" spans="1:10" ht="30.75" thickBot="1">
      <c r="B5" s="182"/>
      <c r="C5" s="97" t="s">
        <v>87</v>
      </c>
      <c r="D5" s="98" t="s">
        <v>88</v>
      </c>
      <c r="E5" s="101" t="s">
        <v>94</v>
      </c>
      <c r="F5" s="511"/>
    </row>
    <row r="6" spans="1:10">
      <c r="B6" s="182"/>
      <c r="C6" s="437" t="s">
        <v>89</v>
      </c>
      <c r="D6" s="168">
        <f>'IRR - Pond'!D6</f>
        <v>0</v>
      </c>
      <c r="E6" s="168"/>
      <c r="F6" s="512"/>
    </row>
    <row r="7" spans="1:10">
      <c r="B7" s="182"/>
      <c r="C7" s="45">
        <v>1</v>
      </c>
      <c r="D7" s="174" t="e">
        <f>'IRR - Pond'!D7</f>
        <v>#VALUE!</v>
      </c>
      <c r="E7" s="169" t="e">
        <f>D7/((1+$E$3)^C7)</f>
        <v>#VALUE!</v>
      </c>
      <c r="F7" s="513"/>
    </row>
    <row r="8" spans="1:10">
      <c r="B8" s="182"/>
      <c r="C8" s="45">
        <v>2</v>
      </c>
      <c r="D8" s="174" t="e">
        <f>'IRR - Pond'!D8</f>
        <v>#VALUE!</v>
      </c>
      <c r="E8" s="169" t="e">
        <f t="shared" ref="E8:E16" si="0">D8/((1+$E$3)^C8)</f>
        <v>#VALUE!</v>
      </c>
      <c r="F8" s="513"/>
    </row>
    <row r="9" spans="1:10">
      <c r="B9" s="182"/>
      <c r="C9" s="45">
        <v>3</v>
      </c>
      <c r="D9" s="174" t="e">
        <f>'IRR - Pond'!D9</f>
        <v>#VALUE!</v>
      </c>
      <c r="E9" s="169" t="e">
        <f t="shared" si="0"/>
        <v>#VALUE!</v>
      </c>
      <c r="F9" s="513"/>
      <c r="J9" s="44" t="s">
        <v>95</v>
      </c>
    </row>
    <row r="10" spans="1:10">
      <c r="B10" s="182"/>
      <c r="C10" s="45">
        <v>4</v>
      </c>
      <c r="D10" s="174" t="e">
        <f>'IRR - Pond'!D10</f>
        <v>#VALUE!</v>
      </c>
      <c r="E10" s="169" t="e">
        <f t="shared" si="0"/>
        <v>#VALUE!</v>
      </c>
      <c r="F10" s="513"/>
    </row>
    <row r="11" spans="1:10">
      <c r="B11" s="182"/>
      <c r="C11" s="45">
        <v>5</v>
      </c>
      <c r="D11" s="174" t="e">
        <f>'IRR - Pond'!D11</f>
        <v>#VALUE!</v>
      </c>
      <c r="E11" s="169" t="e">
        <f t="shared" si="0"/>
        <v>#VALUE!</v>
      </c>
      <c r="F11" s="513"/>
    </row>
    <row r="12" spans="1:10">
      <c r="B12" s="182"/>
      <c r="C12" s="45">
        <v>6</v>
      </c>
      <c r="D12" s="174" t="e">
        <f>'IRR - Pond'!D12</f>
        <v>#VALUE!</v>
      </c>
      <c r="E12" s="169" t="e">
        <f t="shared" si="0"/>
        <v>#VALUE!</v>
      </c>
      <c r="F12" s="513"/>
    </row>
    <row r="13" spans="1:10">
      <c r="B13" s="182"/>
      <c r="C13" s="45">
        <v>7</v>
      </c>
      <c r="D13" s="174" t="e">
        <f>'IRR - Pond'!D13</f>
        <v>#VALUE!</v>
      </c>
      <c r="E13" s="169" t="e">
        <f t="shared" si="0"/>
        <v>#VALUE!</v>
      </c>
      <c r="F13" s="513"/>
    </row>
    <row r="14" spans="1:10">
      <c r="B14" s="182"/>
      <c r="C14" s="45">
        <v>8</v>
      </c>
      <c r="D14" s="174" t="e">
        <f>'IRR - Pond'!D14</f>
        <v>#VALUE!</v>
      </c>
      <c r="E14" s="169" t="e">
        <f t="shared" si="0"/>
        <v>#VALUE!</v>
      </c>
      <c r="F14" s="513"/>
    </row>
    <row r="15" spans="1:10">
      <c r="B15" s="182"/>
      <c r="C15" s="45">
        <v>9</v>
      </c>
      <c r="D15" s="174" t="e">
        <f>'IRR - Pond'!D15</f>
        <v>#VALUE!</v>
      </c>
      <c r="E15" s="169" t="e">
        <f t="shared" si="0"/>
        <v>#VALUE!</v>
      </c>
      <c r="F15" s="513"/>
    </row>
    <row r="16" spans="1:10">
      <c r="B16" s="182"/>
      <c r="C16" s="45">
        <v>10</v>
      </c>
      <c r="D16" s="174" t="e">
        <f>'IRR - Pond'!D16</f>
        <v>#VALUE!</v>
      </c>
      <c r="E16" s="169" t="e">
        <f t="shared" si="0"/>
        <v>#VALUE!</v>
      </c>
      <c r="F16" s="513"/>
    </row>
    <row r="17" spans="2:6" ht="15.75" thickBot="1">
      <c r="B17" s="182"/>
      <c r="C17" s="55"/>
      <c r="D17" s="169"/>
      <c r="E17" s="169"/>
      <c r="F17" s="57"/>
    </row>
    <row r="18" spans="2:6" ht="15.75" thickBot="1">
      <c r="B18" s="182"/>
      <c r="C18" s="55" t="s">
        <v>96</v>
      </c>
      <c r="D18" s="170" t="e">
        <f>SUM(E7:E16)</f>
        <v>#VALUE!</v>
      </c>
      <c r="E18" s="169"/>
      <c r="F18" s="57"/>
    </row>
    <row r="19" spans="2:6" ht="15.75" thickBot="1">
      <c r="B19" s="182"/>
      <c r="C19" s="55"/>
      <c r="D19" s="95"/>
      <c r="E19" s="95"/>
      <c r="F19" s="57"/>
    </row>
    <row r="20" spans="2:6" ht="15.75" thickBot="1">
      <c r="B20" s="182"/>
      <c r="C20" s="55" t="s">
        <v>7</v>
      </c>
      <c r="D20" s="99" t="e">
        <f>NPV(E3,D7,D8,D9,D10,D11,D12,D13,D14,D15,D16)/-D6</f>
        <v>#VALUE!</v>
      </c>
      <c r="E20" s="100"/>
      <c r="F20" s="57"/>
    </row>
    <row r="21" spans="2:6" ht="15.75" thickBot="1">
      <c r="B21" s="60"/>
      <c r="C21" s="61"/>
      <c r="D21" s="61"/>
      <c r="E21" s="61"/>
      <c r="F21" s="62"/>
    </row>
  </sheetData>
  <mergeCells count="2">
    <mergeCell ref="C4:D4"/>
    <mergeCell ref="A1:XFD1"/>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theme="3" tint="-0.499984740745262"/>
  </sheetPr>
  <dimension ref="A1:I96"/>
  <sheetViews>
    <sheetView topLeftCell="A9" workbookViewId="0">
      <selection activeCell="B3" sqref="B3"/>
    </sheetView>
  </sheetViews>
  <sheetFormatPr defaultRowHeight="15"/>
  <cols>
    <col min="1" max="1" width="9.140625" style="241"/>
    <col min="2" max="2" width="28.85546875" style="284" bestFit="1" customWidth="1"/>
    <col min="3" max="3" width="9.140625" style="241"/>
    <col min="4" max="4" width="27.85546875" style="240" bestFit="1" customWidth="1"/>
    <col min="5" max="5" width="9.140625" style="241"/>
    <col min="6" max="6" width="40.42578125" style="240" bestFit="1" customWidth="1"/>
    <col min="7" max="7" width="9.140625" style="241"/>
    <col min="8" max="8" width="23" style="240" customWidth="1"/>
    <col min="9" max="9" width="9.140625" style="241"/>
    <col min="10" max="16384" width="9.140625" style="240"/>
  </cols>
  <sheetData>
    <row r="1" spans="1:8" s="1114" customFormat="1">
      <c r="A1" s="1114" t="s">
        <v>424</v>
      </c>
    </row>
    <row r="2" spans="1:8" ht="30">
      <c r="B2" s="932" t="s">
        <v>470</v>
      </c>
      <c r="D2" s="240" t="s">
        <v>24</v>
      </c>
      <c r="F2" s="240" t="s">
        <v>471</v>
      </c>
      <c r="H2" s="244" t="s">
        <v>469</v>
      </c>
    </row>
    <row r="3" spans="1:8">
      <c r="B3" s="284">
        <v>15000</v>
      </c>
      <c r="F3" s="240" t="s">
        <v>26</v>
      </c>
      <c r="H3" s="240" t="s">
        <v>28</v>
      </c>
    </row>
    <row r="4" spans="1:8">
      <c r="B4" s="284">
        <v>16000</v>
      </c>
      <c r="H4" s="240" t="s">
        <v>29</v>
      </c>
    </row>
    <row r="5" spans="1:8">
      <c r="B5" s="284">
        <v>17000</v>
      </c>
      <c r="F5" s="240" t="s">
        <v>27</v>
      </c>
      <c r="H5" s="241"/>
    </row>
    <row r="6" spans="1:8">
      <c r="B6" s="284">
        <v>18000</v>
      </c>
      <c r="H6" s="241"/>
    </row>
    <row r="7" spans="1:8">
      <c r="B7" s="284">
        <v>19000</v>
      </c>
      <c r="H7" s="251" t="s">
        <v>43</v>
      </c>
    </row>
    <row r="8" spans="1:8" ht="30">
      <c r="B8" s="284">
        <v>20000</v>
      </c>
      <c r="H8" s="237" t="s">
        <v>343</v>
      </c>
    </row>
    <row r="9" spans="1:8">
      <c r="B9" s="284">
        <v>21000</v>
      </c>
      <c r="F9" s="241"/>
      <c r="H9" s="240" t="s">
        <v>40</v>
      </c>
    </row>
    <row r="10" spans="1:8">
      <c r="B10" s="284">
        <v>22000</v>
      </c>
      <c r="D10" s="241"/>
      <c r="F10" s="241"/>
      <c r="H10" s="240" t="s">
        <v>41</v>
      </c>
    </row>
    <row r="11" spans="1:8">
      <c r="B11" s="284">
        <v>23000</v>
      </c>
      <c r="D11" s="241"/>
      <c r="F11" s="242" t="s">
        <v>2</v>
      </c>
      <c r="H11" s="241"/>
    </row>
    <row r="12" spans="1:8">
      <c r="B12" s="284">
        <v>24000</v>
      </c>
      <c r="D12" s="243" t="s">
        <v>1</v>
      </c>
      <c r="F12" s="239" t="s">
        <v>42</v>
      </c>
      <c r="H12" s="241"/>
    </row>
    <row r="13" spans="1:8">
      <c r="B13" s="284">
        <v>25000</v>
      </c>
      <c r="D13" s="239" t="s">
        <v>30</v>
      </c>
      <c r="F13" s="240" t="s">
        <v>44</v>
      </c>
      <c r="H13" s="282" t="s">
        <v>52</v>
      </c>
    </row>
    <row r="14" spans="1:8" ht="30">
      <c r="B14" s="284">
        <v>26000</v>
      </c>
      <c r="D14" s="240" t="s">
        <v>35</v>
      </c>
      <c r="F14" s="240" t="s">
        <v>45</v>
      </c>
      <c r="H14" s="237" t="s">
        <v>53</v>
      </c>
    </row>
    <row r="15" spans="1:8">
      <c r="B15" s="284">
        <v>27000</v>
      </c>
      <c r="D15" s="240" t="s">
        <v>31</v>
      </c>
      <c r="F15" s="240" t="s">
        <v>46</v>
      </c>
      <c r="H15" s="240" t="s">
        <v>50</v>
      </c>
    </row>
    <row r="16" spans="1:8">
      <c r="B16" s="284">
        <v>28000</v>
      </c>
      <c r="D16" s="240" t="s">
        <v>38</v>
      </c>
      <c r="F16" s="240" t="s">
        <v>47</v>
      </c>
      <c r="H16" s="240" t="s">
        <v>51</v>
      </c>
    </row>
    <row r="17" spans="2:8" ht="30">
      <c r="B17" s="284">
        <v>29000</v>
      </c>
      <c r="D17" s="240" t="s">
        <v>32</v>
      </c>
      <c r="F17" s="244" t="s">
        <v>48</v>
      </c>
      <c r="H17" s="241"/>
    </row>
    <row r="18" spans="2:8">
      <c r="B18" s="284">
        <v>30000</v>
      </c>
      <c r="D18" s="240" t="s">
        <v>39</v>
      </c>
      <c r="F18" s="241"/>
      <c r="H18" s="241"/>
    </row>
    <row r="19" spans="2:8">
      <c r="B19" s="284">
        <v>31000</v>
      </c>
      <c r="D19" s="240" t="s">
        <v>36</v>
      </c>
      <c r="F19" s="241"/>
      <c r="H19" s="252" t="s">
        <v>250</v>
      </c>
    </row>
    <row r="20" spans="2:8" ht="30">
      <c r="B20" s="284">
        <v>32000</v>
      </c>
      <c r="D20" s="240" t="s">
        <v>33</v>
      </c>
      <c r="F20" s="245" t="s">
        <v>49</v>
      </c>
      <c r="H20" s="237" t="s">
        <v>329</v>
      </c>
    </row>
    <row r="21" spans="2:8">
      <c r="B21" s="284">
        <v>33000</v>
      </c>
      <c r="D21" s="240" t="s">
        <v>37</v>
      </c>
      <c r="F21" s="239" t="s">
        <v>342</v>
      </c>
      <c r="H21" s="359">
        <v>1</v>
      </c>
    </row>
    <row r="22" spans="2:8">
      <c r="B22" s="284">
        <v>34000</v>
      </c>
      <c r="D22" s="240" t="s">
        <v>34</v>
      </c>
      <c r="F22" s="240" t="s">
        <v>50</v>
      </c>
      <c r="H22" s="359">
        <f>H21+1</f>
        <v>2</v>
      </c>
    </row>
    <row r="23" spans="2:8">
      <c r="B23" s="284">
        <v>35000</v>
      </c>
      <c r="D23" s="241"/>
      <c r="F23" s="240" t="s">
        <v>51</v>
      </c>
      <c r="H23" s="359">
        <f t="shared" ref="H23:H40" si="0">H22+1</f>
        <v>3</v>
      </c>
    </row>
    <row r="24" spans="2:8">
      <c r="B24" s="284">
        <v>36000</v>
      </c>
      <c r="D24" s="241"/>
      <c r="F24" s="241"/>
      <c r="H24" s="359">
        <f t="shared" si="0"/>
        <v>4</v>
      </c>
    </row>
    <row r="25" spans="2:8">
      <c r="B25" s="284">
        <v>37000</v>
      </c>
      <c r="D25" s="246" t="s">
        <v>240</v>
      </c>
      <c r="F25" s="241"/>
      <c r="H25" s="359">
        <f t="shared" si="0"/>
        <v>5</v>
      </c>
    </row>
    <row r="26" spans="2:8">
      <c r="B26" s="284">
        <v>38000</v>
      </c>
      <c r="D26" s="239" t="s">
        <v>292</v>
      </c>
      <c r="F26" s="247" t="s">
        <v>253</v>
      </c>
      <c r="H26" s="359">
        <f t="shared" si="0"/>
        <v>6</v>
      </c>
    </row>
    <row r="27" spans="2:8">
      <c r="B27" s="284">
        <v>39000</v>
      </c>
      <c r="D27" s="240" t="s">
        <v>293</v>
      </c>
      <c r="F27" s="239" t="s">
        <v>254</v>
      </c>
      <c r="H27" s="359">
        <f t="shared" si="0"/>
        <v>7</v>
      </c>
    </row>
    <row r="28" spans="2:8">
      <c r="B28" s="284">
        <v>40000</v>
      </c>
      <c r="D28" s="240" t="s">
        <v>294</v>
      </c>
      <c r="F28" s="240" t="s">
        <v>50</v>
      </c>
      <c r="H28" s="359">
        <f t="shared" si="0"/>
        <v>8</v>
      </c>
    </row>
    <row r="29" spans="2:8">
      <c r="B29" s="284">
        <v>41000</v>
      </c>
      <c r="D29" s="240" t="s">
        <v>305</v>
      </c>
      <c r="F29" s="240" t="s">
        <v>51</v>
      </c>
      <c r="H29" s="359">
        <f t="shared" si="0"/>
        <v>9</v>
      </c>
    </row>
    <row r="30" spans="2:8">
      <c r="B30" s="284">
        <v>42000</v>
      </c>
      <c r="F30" s="281"/>
      <c r="H30" s="359">
        <f t="shared" si="0"/>
        <v>10</v>
      </c>
    </row>
    <row r="31" spans="2:8">
      <c r="B31" s="284">
        <v>43000</v>
      </c>
      <c r="D31" s="248" t="s">
        <v>284</v>
      </c>
      <c r="F31" s="239"/>
      <c r="H31" s="359">
        <f t="shared" si="0"/>
        <v>11</v>
      </c>
    </row>
    <row r="32" spans="2:8">
      <c r="B32" s="284">
        <v>44000</v>
      </c>
      <c r="D32" s="239" t="s">
        <v>285</v>
      </c>
      <c r="H32" s="359">
        <f t="shared" si="0"/>
        <v>12</v>
      </c>
    </row>
    <row r="33" spans="2:8">
      <c r="B33" s="284">
        <v>45000</v>
      </c>
      <c r="D33" s="240" t="s">
        <v>50</v>
      </c>
      <c r="H33" s="359">
        <f t="shared" si="0"/>
        <v>13</v>
      </c>
    </row>
    <row r="34" spans="2:8">
      <c r="B34" s="284">
        <v>46000</v>
      </c>
      <c r="D34" s="240" t="s">
        <v>51</v>
      </c>
      <c r="F34" s="247" t="s">
        <v>283</v>
      </c>
      <c r="H34" s="359">
        <f t="shared" si="0"/>
        <v>14</v>
      </c>
    </row>
    <row r="35" spans="2:8">
      <c r="B35" s="284">
        <v>47000</v>
      </c>
      <c r="F35" s="239" t="s">
        <v>333</v>
      </c>
      <c r="H35" s="359">
        <f t="shared" si="0"/>
        <v>15</v>
      </c>
    </row>
    <row r="36" spans="2:8" ht="30">
      <c r="B36" s="284">
        <v>48000</v>
      </c>
      <c r="D36" s="249" t="s">
        <v>301</v>
      </c>
      <c r="F36" s="250">
        <v>1</v>
      </c>
      <c r="H36" s="359">
        <f t="shared" si="0"/>
        <v>16</v>
      </c>
    </row>
    <row r="37" spans="2:8" ht="30">
      <c r="B37" s="284">
        <v>49000</v>
      </c>
      <c r="D37" s="237" t="s">
        <v>302</v>
      </c>
      <c r="F37" s="250">
        <v>1.5</v>
      </c>
      <c r="H37" s="359">
        <f t="shared" si="0"/>
        <v>17</v>
      </c>
    </row>
    <row r="38" spans="2:8">
      <c r="B38" s="284">
        <v>50000</v>
      </c>
      <c r="D38" s="240" t="s">
        <v>584</v>
      </c>
      <c r="F38" s="250">
        <v>2</v>
      </c>
      <c r="H38" s="359">
        <f t="shared" si="0"/>
        <v>18</v>
      </c>
    </row>
    <row r="39" spans="2:8">
      <c r="B39"/>
      <c r="D39" s="240" t="s">
        <v>585</v>
      </c>
      <c r="F39" s="250">
        <v>2.5</v>
      </c>
      <c r="H39" s="359">
        <f t="shared" si="0"/>
        <v>19</v>
      </c>
    </row>
    <row r="40" spans="2:8">
      <c r="B40"/>
      <c r="D40" s="240" t="s">
        <v>371</v>
      </c>
      <c r="F40" s="250">
        <v>3</v>
      </c>
      <c r="H40" s="359">
        <f t="shared" si="0"/>
        <v>20</v>
      </c>
    </row>
    <row r="41" spans="2:8">
      <c r="B41"/>
      <c r="D41" s="240" t="s">
        <v>372</v>
      </c>
      <c r="F41" s="250">
        <v>3.5</v>
      </c>
      <c r="H41" s="247" t="s">
        <v>306</v>
      </c>
    </row>
    <row r="42" spans="2:8" ht="30">
      <c r="B42"/>
      <c r="D42" s="240" t="s">
        <v>373</v>
      </c>
      <c r="F42" s="250">
        <v>4</v>
      </c>
      <c r="H42" s="237" t="s">
        <v>308</v>
      </c>
    </row>
    <row r="43" spans="2:8">
      <c r="B43"/>
      <c r="D43" s="240" t="s">
        <v>374</v>
      </c>
      <c r="F43" s="250">
        <v>4.5</v>
      </c>
      <c r="H43" s="253">
        <v>0.05</v>
      </c>
    </row>
    <row r="44" spans="2:8">
      <c r="B44"/>
      <c r="F44" s="250">
        <v>5</v>
      </c>
      <c r="H44" s="253">
        <v>0.1</v>
      </c>
    </row>
    <row r="45" spans="2:8">
      <c r="B45"/>
      <c r="F45" s="250">
        <v>5.5</v>
      </c>
      <c r="H45" s="253">
        <v>0.15</v>
      </c>
    </row>
    <row r="46" spans="2:8">
      <c r="B46"/>
      <c r="F46" s="250">
        <v>6</v>
      </c>
      <c r="H46" s="253">
        <v>0.2</v>
      </c>
    </row>
    <row r="47" spans="2:8">
      <c r="B47"/>
      <c r="F47" s="250">
        <v>6.5</v>
      </c>
      <c r="H47" s="253">
        <v>0.25</v>
      </c>
    </row>
    <row r="48" spans="2:8">
      <c r="B48"/>
      <c r="F48" s="250">
        <v>7</v>
      </c>
      <c r="H48" s="253">
        <v>0.3</v>
      </c>
    </row>
    <row r="49" spans="2:8">
      <c r="B49"/>
      <c r="F49" s="250">
        <v>7.5</v>
      </c>
      <c r="H49" s="253">
        <v>0.35</v>
      </c>
    </row>
    <row r="50" spans="2:8">
      <c r="B50"/>
      <c r="F50" s="250">
        <v>8</v>
      </c>
      <c r="H50" s="253">
        <v>0.4</v>
      </c>
    </row>
    <row r="51" spans="2:8">
      <c r="B51"/>
      <c r="F51" s="250">
        <v>8.5</v>
      </c>
      <c r="H51" s="253">
        <v>0.45</v>
      </c>
    </row>
    <row r="52" spans="2:8">
      <c r="B52"/>
      <c r="F52" s="250">
        <v>9</v>
      </c>
      <c r="H52" s="253">
        <v>0.5</v>
      </c>
    </row>
    <row r="53" spans="2:8">
      <c r="B53"/>
      <c r="D53"/>
      <c r="F53" s="250">
        <v>9.5</v>
      </c>
      <c r="H53" s="253">
        <v>0.55000000000000004</v>
      </c>
    </row>
    <row r="54" spans="2:8">
      <c r="B54"/>
      <c r="D54"/>
      <c r="F54" s="239" t="s">
        <v>333</v>
      </c>
      <c r="H54" s="253">
        <v>0.6</v>
      </c>
    </row>
    <row r="55" spans="2:8">
      <c r="B55"/>
      <c r="D55"/>
      <c r="F55" s="250">
        <v>10</v>
      </c>
      <c r="H55" s="253">
        <v>0.65</v>
      </c>
    </row>
    <row r="56" spans="2:8">
      <c r="B56"/>
      <c r="D56"/>
      <c r="F56" s="250">
        <v>10.5</v>
      </c>
      <c r="H56" s="253">
        <v>0.7</v>
      </c>
    </row>
    <row r="57" spans="2:8">
      <c r="B57"/>
      <c r="D57"/>
      <c r="F57" s="250">
        <v>11</v>
      </c>
      <c r="H57" s="253">
        <v>0.75</v>
      </c>
    </row>
    <row r="58" spans="2:8">
      <c r="B58"/>
      <c r="D58"/>
      <c r="F58" s="250">
        <v>11.5</v>
      </c>
      <c r="H58" s="253">
        <v>0.8</v>
      </c>
    </row>
    <row r="59" spans="2:8">
      <c r="B59"/>
      <c r="D59"/>
      <c r="F59" s="250">
        <v>12</v>
      </c>
      <c r="H59" s="253">
        <v>0.85</v>
      </c>
    </row>
    <row r="60" spans="2:8">
      <c r="B60"/>
      <c r="D60"/>
      <c r="F60" s="250">
        <v>12.5</v>
      </c>
      <c r="H60" s="253">
        <v>0.9</v>
      </c>
    </row>
    <row r="61" spans="2:8">
      <c r="B61"/>
      <c r="D61"/>
      <c r="F61" s="250">
        <v>13</v>
      </c>
      <c r="H61" s="253">
        <v>0.95</v>
      </c>
    </row>
    <row r="62" spans="2:8">
      <c r="B62"/>
      <c r="D62"/>
      <c r="F62" s="250">
        <v>13.5</v>
      </c>
      <c r="H62" s="253">
        <v>1</v>
      </c>
    </row>
    <row r="63" spans="2:8">
      <c r="B63"/>
      <c r="D63"/>
      <c r="F63" s="250">
        <v>14</v>
      </c>
      <c r="H63" s="253"/>
    </row>
    <row r="64" spans="2:8">
      <c r="B64"/>
      <c r="D64"/>
      <c r="F64" s="250">
        <v>14.5</v>
      </c>
      <c r="H64" s="238" t="s">
        <v>387</v>
      </c>
    </row>
    <row r="65" spans="4:8">
      <c r="D65"/>
      <c r="F65" s="250">
        <v>15</v>
      </c>
      <c r="H65" s="239" t="s">
        <v>25</v>
      </c>
    </row>
    <row r="66" spans="4:8">
      <c r="D66"/>
      <c r="F66" s="250">
        <v>15.5</v>
      </c>
      <c r="H66" s="253" t="s">
        <v>384</v>
      </c>
    </row>
    <row r="67" spans="4:8">
      <c r="D67"/>
      <c r="F67" s="250">
        <v>16</v>
      </c>
      <c r="H67" s="253" t="s">
        <v>368</v>
      </c>
    </row>
    <row r="68" spans="4:8">
      <c r="D68"/>
      <c r="F68" s="250">
        <v>16.5</v>
      </c>
      <c r="H68" s="253" t="s">
        <v>385</v>
      </c>
    </row>
    <row r="69" spans="4:8">
      <c r="D69"/>
      <c r="F69" s="250">
        <v>17</v>
      </c>
      <c r="H69" s="253" t="s">
        <v>386</v>
      </c>
    </row>
    <row r="70" spans="4:8">
      <c r="D70"/>
      <c r="F70" s="250">
        <v>17.5</v>
      </c>
      <c r="H70" s="253"/>
    </row>
    <row r="71" spans="4:8">
      <c r="D71"/>
      <c r="F71" s="250">
        <v>18</v>
      </c>
      <c r="H71" s="238" t="s">
        <v>385</v>
      </c>
    </row>
    <row r="72" spans="4:8">
      <c r="D72"/>
      <c r="F72" s="250">
        <v>18.5</v>
      </c>
      <c r="H72" s="239" t="s">
        <v>394</v>
      </c>
    </row>
    <row r="73" spans="4:8">
      <c r="D73"/>
      <c r="F73" s="250">
        <v>19</v>
      </c>
      <c r="H73" s="253" t="s">
        <v>398</v>
      </c>
    </row>
    <row r="74" spans="4:8">
      <c r="D74"/>
      <c r="F74" s="250">
        <v>19.5</v>
      </c>
      <c r="H74" s="240" t="s">
        <v>399</v>
      </c>
    </row>
    <row r="75" spans="4:8">
      <c r="D75"/>
      <c r="F75" s="250">
        <v>20</v>
      </c>
      <c r="H75" s="253" t="s">
        <v>400</v>
      </c>
    </row>
    <row r="76" spans="4:8">
      <c r="D76"/>
      <c r="F76" s="250">
        <v>20.5</v>
      </c>
      <c r="H76" s="240" t="s">
        <v>401</v>
      </c>
    </row>
    <row r="77" spans="4:8">
      <c r="D77"/>
      <c r="F77" s="250">
        <v>21</v>
      </c>
      <c r="H77" s="253" t="s">
        <v>388</v>
      </c>
    </row>
    <row r="78" spans="4:8">
      <c r="D78"/>
      <c r="F78" s="250">
        <v>21.5</v>
      </c>
    </row>
    <row r="79" spans="4:8">
      <c r="D79"/>
      <c r="F79" s="250">
        <v>22</v>
      </c>
      <c r="H79" s="238" t="s">
        <v>368</v>
      </c>
    </row>
    <row r="80" spans="4:8">
      <c r="D80"/>
      <c r="F80" s="250">
        <v>22.5</v>
      </c>
      <c r="H80" s="239" t="s">
        <v>394</v>
      </c>
    </row>
    <row r="81" spans="2:8">
      <c r="D81"/>
      <c r="F81" s="250">
        <v>23</v>
      </c>
      <c r="H81" s="253" t="s">
        <v>389</v>
      </c>
    </row>
    <row r="82" spans="2:8">
      <c r="D82"/>
      <c r="F82" s="250">
        <v>23.5</v>
      </c>
      <c r="H82" s="253" t="s">
        <v>390</v>
      </c>
    </row>
    <row r="83" spans="2:8">
      <c r="D83"/>
      <c r="F83" s="250">
        <v>24</v>
      </c>
      <c r="H83" s="253" t="s">
        <v>391</v>
      </c>
    </row>
    <row r="84" spans="2:8">
      <c r="D84"/>
      <c r="F84" s="250">
        <v>24.5</v>
      </c>
      <c r="H84" s="253" t="s">
        <v>392</v>
      </c>
    </row>
    <row r="85" spans="2:8">
      <c r="D85"/>
      <c r="F85" s="250">
        <v>25</v>
      </c>
      <c r="H85" s="253" t="s">
        <v>393</v>
      </c>
    </row>
    <row r="86" spans="2:8">
      <c r="D86"/>
      <c r="F86" s="250">
        <v>25.5</v>
      </c>
      <c r="H86" s="253"/>
    </row>
    <row r="87" spans="2:8">
      <c r="D87"/>
      <c r="F87" s="250">
        <v>26</v>
      </c>
      <c r="H87" s="253"/>
    </row>
    <row r="88" spans="2:8">
      <c r="D88"/>
      <c r="F88" s="250">
        <v>26.5</v>
      </c>
      <c r="H88" s="253"/>
    </row>
    <row r="89" spans="2:8">
      <c r="D89"/>
      <c r="F89" s="250">
        <v>27</v>
      </c>
      <c r="H89" s="253"/>
    </row>
    <row r="90" spans="2:8">
      <c r="D90"/>
      <c r="F90" s="250">
        <v>27.5</v>
      </c>
      <c r="H90" s="253"/>
    </row>
    <row r="91" spans="2:8">
      <c r="D91"/>
      <c r="F91" s="250">
        <v>28</v>
      </c>
      <c r="H91" s="253"/>
    </row>
    <row r="92" spans="2:8">
      <c r="B92"/>
      <c r="D92"/>
      <c r="F92" s="250">
        <v>28.5</v>
      </c>
      <c r="H92" s="253"/>
    </row>
    <row r="93" spans="2:8">
      <c r="B93"/>
      <c r="D93"/>
      <c r="F93" s="250">
        <v>29</v>
      </c>
      <c r="H93" s="253"/>
    </row>
    <row r="94" spans="2:8">
      <c r="B94"/>
      <c r="D94"/>
      <c r="F94" s="250">
        <v>29.5</v>
      </c>
      <c r="H94" s="253"/>
    </row>
    <row r="95" spans="2:8">
      <c r="B95"/>
      <c r="D95"/>
      <c r="F95" s="250">
        <v>30</v>
      </c>
      <c r="H95" s="253"/>
    </row>
    <row r="96" spans="2:8">
      <c r="F96" s="250">
        <v>30.5</v>
      </c>
    </row>
  </sheetData>
  <sortState ref="D16:D24">
    <sortCondition ref="D16"/>
  </sortState>
  <mergeCells count="1">
    <mergeCell ref="A1:XFD1"/>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72757-0584-49E3-A360-DA6ABBBC0B0B}">
  <sheetPr codeName="Sheet42">
    <tabColor theme="5" tint="0.39997558519241921"/>
  </sheetPr>
  <dimension ref="A1:O36"/>
  <sheetViews>
    <sheetView zoomScaleNormal="100" workbookViewId="0">
      <selection activeCell="A6" sqref="A6:XFD6"/>
    </sheetView>
  </sheetViews>
  <sheetFormatPr defaultColWidth="9.140625" defaultRowHeight="12"/>
  <cols>
    <col min="1" max="1" width="2.7109375" style="82" customWidth="1"/>
    <col min="2" max="2" width="40.7109375" style="82" bestFit="1" customWidth="1"/>
    <col min="3" max="3" width="12.85546875" style="82" customWidth="1"/>
    <col min="4" max="4" width="16.28515625" style="85" customWidth="1"/>
    <col min="5" max="5" width="11.28515625" style="82" bestFit="1" customWidth="1"/>
    <col min="6" max="15" width="11.42578125" style="82" bestFit="1" customWidth="1"/>
    <col min="16" max="16384" width="9.140625" style="82"/>
  </cols>
  <sheetData>
    <row r="1" spans="1:15" s="1210" customFormat="1" ht="15">
      <c r="A1" s="1210" t="s">
        <v>445</v>
      </c>
    </row>
    <row r="2" spans="1:15" ht="12.75" thickBot="1"/>
    <row r="3" spans="1:15" ht="13.5" thickTop="1" thickBot="1">
      <c r="B3" s="1195" t="s">
        <v>126</v>
      </c>
      <c r="C3" s="1220" t="s">
        <v>235</v>
      </c>
      <c r="D3" s="1222" t="s">
        <v>236</v>
      </c>
      <c r="E3" s="1201" t="s">
        <v>3</v>
      </c>
      <c r="F3" s="1217" t="s">
        <v>165</v>
      </c>
      <c r="G3" s="1218"/>
      <c r="H3" s="1218"/>
      <c r="I3" s="1218"/>
      <c r="J3" s="1218"/>
      <c r="K3" s="1218"/>
      <c r="L3" s="1218"/>
      <c r="M3" s="1218"/>
      <c r="N3" s="1218"/>
      <c r="O3" s="1219"/>
    </row>
    <row r="4" spans="1:15" ht="15.75" customHeight="1" thickBot="1">
      <c r="B4" s="1196"/>
      <c r="C4" s="1221"/>
      <c r="D4" s="1223"/>
      <c r="E4" s="1202"/>
      <c r="F4" s="893">
        <v>1</v>
      </c>
      <c r="G4" s="894">
        <f>F4+1</f>
        <v>2</v>
      </c>
      <c r="H4" s="894">
        <f t="shared" ref="H4:O4" si="0">G4+1</f>
        <v>3</v>
      </c>
      <c r="I4" s="894">
        <f t="shared" si="0"/>
        <v>4</v>
      </c>
      <c r="J4" s="894">
        <f t="shared" si="0"/>
        <v>5</v>
      </c>
      <c r="K4" s="894">
        <f t="shared" si="0"/>
        <v>6</v>
      </c>
      <c r="L4" s="894">
        <f t="shared" si="0"/>
        <v>7</v>
      </c>
      <c r="M4" s="894">
        <f t="shared" si="0"/>
        <v>8</v>
      </c>
      <c r="N4" s="894">
        <f t="shared" si="0"/>
        <v>9</v>
      </c>
      <c r="O4" s="895">
        <f t="shared" si="0"/>
        <v>10</v>
      </c>
    </row>
    <row r="5" spans="1:15" ht="12.75" thickBot="1">
      <c r="B5" s="202" t="s">
        <v>9</v>
      </c>
      <c r="C5" s="898"/>
      <c r="D5" s="904"/>
      <c r="E5" s="204"/>
      <c r="F5" s="202"/>
      <c r="G5" s="203"/>
      <c r="H5" s="203"/>
      <c r="I5" s="203"/>
      <c r="J5" s="203"/>
      <c r="K5" s="203"/>
      <c r="L5" s="203"/>
      <c r="M5" s="203"/>
      <c r="N5" s="203"/>
      <c r="O5" s="204"/>
    </row>
    <row r="6" spans="1:15">
      <c r="B6" s="1043" t="str">
        <f>CAPEX!K6</f>
        <v>Tunnels</v>
      </c>
      <c r="C6" s="1038">
        <v>10</v>
      </c>
      <c r="D6" s="1046">
        <f t="shared" ref="D6" si="1">100%/C6</f>
        <v>0.1</v>
      </c>
      <c r="E6" s="1051">
        <f>CAPEX!Q6</f>
        <v>480000</v>
      </c>
      <c r="F6" s="213">
        <f t="shared" ref="F6" si="2">E6*D6</f>
        <v>48000</v>
      </c>
      <c r="G6" s="213">
        <f>IF(G$4&lt;=$C6,F6,0)</f>
        <v>48000</v>
      </c>
      <c r="H6" s="213">
        <f t="shared" ref="H6" si="3">IF(H$4&lt;=$C6,G6,0)</f>
        <v>48000</v>
      </c>
      <c r="I6" s="213">
        <f t="shared" ref="I6" si="4">IF(I$4&lt;=$C6,H6,0)</f>
        <v>48000</v>
      </c>
      <c r="J6" s="213">
        <f t="shared" ref="J6" si="5">IF(J$4&lt;=$C6,I6,0)</f>
        <v>48000</v>
      </c>
      <c r="K6" s="213">
        <f t="shared" ref="K6" si="6">IF(K$4&lt;=$C6,J6,0)</f>
        <v>48000</v>
      </c>
      <c r="L6" s="213">
        <f t="shared" ref="L6" si="7">IF(L$4&lt;=$C6,K6,0)</f>
        <v>48000</v>
      </c>
      <c r="M6" s="213">
        <f t="shared" ref="M6" si="8">IF(M$4&lt;=$C6,L6,0)</f>
        <v>48000</v>
      </c>
      <c r="N6" s="213">
        <f t="shared" ref="N6" si="9">IF(N$4&lt;=$C6,M6,0)</f>
        <v>48000</v>
      </c>
      <c r="O6" s="214">
        <f t="shared" ref="O6" si="10">IF(O$4&lt;=$C6,N6,0)</f>
        <v>48000</v>
      </c>
    </row>
    <row r="7" spans="1:15">
      <c r="B7" s="1043" t="str">
        <f>CAPEX!K7</f>
        <v>Offices/Storage/Feed Room</v>
      </c>
      <c r="C7" s="1038">
        <v>50</v>
      </c>
      <c r="D7" s="1046">
        <f t="shared" ref="D7:D8" si="11">100%/C7</f>
        <v>0.02</v>
      </c>
      <c r="E7" s="1051">
        <f>CAPEX!Q7</f>
        <v>180539.99999999997</v>
      </c>
      <c r="F7" s="213">
        <f t="shared" ref="F7:F8" si="12">E7*D7</f>
        <v>3610.7999999999993</v>
      </c>
      <c r="G7" s="213">
        <f t="shared" ref="G7:O8" si="13">IF(G$4&lt;=$C7,F7,0)</f>
        <v>3610.7999999999993</v>
      </c>
      <c r="H7" s="213">
        <f t="shared" si="13"/>
        <v>3610.7999999999993</v>
      </c>
      <c r="I7" s="213">
        <f t="shared" si="13"/>
        <v>3610.7999999999993</v>
      </c>
      <c r="J7" s="213">
        <f t="shared" si="13"/>
        <v>3610.7999999999993</v>
      </c>
      <c r="K7" s="213">
        <f t="shared" si="13"/>
        <v>3610.7999999999993</v>
      </c>
      <c r="L7" s="213">
        <f t="shared" si="13"/>
        <v>3610.7999999999993</v>
      </c>
      <c r="M7" s="213">
        <f t="shared" si="13"/>
        <v>3610.7999999999993</v>
      </c>
      <c r="N7" s="213">
        <f t="shared" si="13"/>
        <v>3610.7999999999993</v>
      </c>
      <c r="O7" s="214">
        <f t="shared" si="13"/>
        <v>3610.7999999999993</v>
      </c>
    </row>
    <row r="8" spans="1:15" ht="12.75" thickBot="1">
      <c r="B8" s="1043" t="str">
        <f>CAPEX!K8</f>
        <v>Packing Room</v>
      </c>
      <c r="C8" s="1038">
        <v>50</v>
      </c>
      <c r="D8" s="1046">
        <f t="shared" si="11"/>
        <v>0.02</v>
      </c>
      <c r="E8" s="1051">
        <f>CAPEX!Q8</f>
        <v>25250</v>
      </c>
      <c r="F8" s="213">
        <f t="shared" si="12"/>
        <v>505</v>
      </c>
      <c r="G8" s="213">
        <f t="shared" si="13"/>
        <v>505</v>
      </c>
      <c r="H8" s="213">
        <f t="shared" si="13"/>
        <v>505</v>
      </c>
      <c r="I8" s="213">
        <f t="shared" si="13"/>
        <v>505</v>
      </c>
      <c r="J8" s="213">
        <f t="shared" si="13"/>
        <v>505</v>
      </c>
      <c r="K8" s="213">
        <f t="shared" si="13"/>
        <v>505</v>
      </c>
      <c r="L8" s="213">
        <f>IF(L$4&lt;=$C8,K8,0)</f>
        <v>505</v>
      </c>
      <c r="M8" s="213">
        <f>IF(M$4&lt;=$C8,L8,0)</f>
        <v>505</v>
      </c>
      <c r="N8" s="213">
        <f>IF(N$4&lt;=$C8,M8,0)</f>
        <v>505</v>
      </c>
      <c r="O8" s="214">
        <f>IF(O$4&lt;=$C8,N8,0)</f>
        <v>505</v>
      </c>
    </row>
    <row r="9" spans="1:15" ht="12.75" thickBot="1">
      <c r="B9" s="1040" t="s">
        <v>107</v>
      </c>
      <c r="C9" s="902"/>
      <c r="D9" s="908"/>
      <c r="E9" s="1048"/>
      <c r="F9" s="223"/>
      <c r="G9" s="224"/>
      <c r="H9" s="224"/>
      <c r="I9" s="224"/>
      <c r="J9" s="224"/>
      <c r="K9" s="224"/>
      <c r="L9" s="224"/>
      <c r="M9" s="224"/>
      <c r="N9" s="224"/>
      <c r="O9" s="225"/>
    </row>
    <row r="10" spans="1:15">
      <c r="B10" s="1042" t="str">
        <f>CAPEX!K13</f>
        <v>Grow-out containment number (m3) (incl. lining)</v>
      </c>
      <c r="C10" s="1037">
        <v>10</v>
      </c>
      <c r="D10" s="1045">
        <f>100%/C10</f>
        <v>0.1</v>
      </c>
      <c r="E10" s="1050" t="e">
        <f>CAPEX!Q13</f>
        <v>#VALUE!</v>
      </c>
      <c r="F10" s="210" t="e">
        <f>E10*D10</f>
        <v>#VALUE!</v>
      </c>
      <c r="G10" s="210" t="e">
        <f>IF(G$4&lt;=$C10,F10,0)</f>
        <v>#VALUE!</v>
      </c>
      <c r="H10" s="210" t="e">
        <f t="shared" ref="H10:O10" si="14">IF(H$4&lt;=$C10,G10,0)</f>
        <v>#VALUE!</v>
      </c>
      <c r="I10" s="210" t="e">
        <f t="shared" si="14"/>
        <v>#VALUE!</v>
      </c>
      <c r="J10" s="210" t="e">
        <f t="shared" si="14"/>
        <v>#VALUE!</v>
      </c>
      <c r="K10" s="210" t="e">
        <f t="shared" si="14"/>
        <v>#VALUE!</v>
      </c>
      <c r="L10" s="210" t="e">
        <f t="shared" si="14"/>
        <v>#VALUE!</v>
      </c>
      <c r="M10" s="210" t="e">
        <f t="shared" si="14"/>
        <v>#VALUE!</v>
      </c>
      <c r="N10" s="210" t="e">
        <f t="shared" si="14"/>
        <v>#VALUE!</v>
      </c>
      <c r="O10" s="211" t="e">
        <f t="shared" si="14"/>
        <v>#VALUE!</v>
      </c>
    </row>
    <row r="11" spans="1:15">
      <c r="B11" s="1043" t="str">
        <f>CAPEX!K14</f>
        <v>Water quality testing equipment</v>
      </c>
      <c r="C11" s="1038">
        <v>7</v>
      </c>
      <c r="D11" s="1046">
        <f t="shared" ref="D11:D17" si="15">100%/C11</f>
        <v>0.14285714285714285</v>
      </c>
      <c r="E11" s="1051">
        <f>CAPEX!Q14</f>
        <v>16500</v>
      </c>
      <c r="F11" s="213">
        <f>E11*D11</f>
        <v>2357.1428571428569</v>
      </c>
      <c r="G11" s="213">
        <f t="shared" ref="G11:O13" si="16">IF(G$4&lt;=$C11,F11,0)</f>
        <v>2357.1428571428569</v>
      </c>
      <c r="H11" s="213">
        <f t="shared" si="16"/>
        <v>2357.1428571428569</v>
      </c>
      <c r="I11" s="213">
        <f t="shared" si="16"/>
        <v>2357.1428571428569</v>
      </c>
      <c r="J11" s="213">
        <f t="shared" si="16"/>
        <v>2357.1428571428569</v>
      </c>
      <c r="K11" s="213">
        <f t="shared" si="16"/>
        <v>2357.1428571428569</v>
      </c>
      <c r="L11" s="213">
        <f t="shared" si="16"/>
        <v>2357.1428571428569</v>
      </c>
      <c r="M11" s="213">
        <f t="shared" si="16"/>
        <v>0</v>
      </c>
      <c r="N11" s="213">
        <f t="shared" si="16"/>
        <v>0</v>
      </c>
      <c r="O11" s="214">
        <f t="shared" si="16"/>
        <v>0</v>
      </c>
    </row>
    <row r="12" spans="1:15">
      <c r="B12" s="1043" t="str">
        <f>CAPEX!K15</f>
        <v>Water Supply (Piping &amp; Fittings)</v>
      </c>
      <c r="C12" s="1038">
        <v>7</v>
      </c>
      <c r="D12" s="1046">
        <f t="shared" si="15"/>
        <v>0.14285714285714285</v>
      </c>
      <c r="E12" s="1051">
        <f>CAPEX!Q15</f>
        <v>8400</v>
      </c>
      <c r="F12" s="213">
        <f t="shared" ref="F12:F23" si="17">E12*D12</f>
        <v>1200</v>
      </c>
      <c r="G12" s="213">
        <f t="shared" si="16"/>
        <v>1200</v>
      </c>
      <c r="H12" s="213">
        <f t="shared" si="16"/>
        <v>1200</v>
      </c>
      <c r="I12" s="213">
        <f t="shared" si="16"/>
        <v>1200</v>
      </c>
      <c r="J12" s="213">
        <f t="shared" si="16"/>
        <v>1200</v>
      </c>
      <c r="K12" s="213">
        <f t="shared" si="16"/>
        <v>1200</v>
      </c>
      <c r="L12" s="213">
        <f t="shared" si="16"/>
        <v>1200</v>
      </c>
      <c r="M12" s="213">
        <f t="shared" si="16"/>
        <v>0</v>
      </c>
      <c r="N12" s="213">
        <f t="shared" si="16"/>
        <v>0</v>
      </c>
      <c r="O12" s="214">
        <f t="shared" si="16"/>
        <v>0</v>
      </c>
    </row>
    <row r="13" spans="1:15">
      <c r="B13" s="1043" t="str">
        <f>CAPEX!K16</f>
        <v>Water Drainage (Piping &amp; Fittings)</v>
      </c>
      <c r="C13" s="1038">
        <v>10</v>
      </c>
      <c r="D13" s="1046">
        <f t="shared" si="15"/>
        <v>0.1</v>
      </c>
      <c r="E13" s="1051">
        <f>CAPEX!Q16</f>
        <v>8400</v>
      </c>
      <c r="F13" s="213">
        <f t="shared" si="17"/>
        <v>840</v>
      </c>
      <c r="G13" s="213">
        <f t="shared" si="16"/>
        <v>840</v>
      </c>
      <c r="H13" s="213">
        <f t="shared" si="16"/>
        <v>840</v>
      </c>
      <c r="I13" s="213">
        <f t="shared" si="16"/>
        <v>840</v>
      </c>
      <c r="J13" s="213">
        <f t="shared" si="16"/>
        <v>840</v>
      </c>
      <c r="K13" s="213">
        <f t="shared" si="16"/>
        <v>840</v>
      </c>
      <c r="L13" s="213">
        <f t="shared" si="16"/>
        <v>840</v>
      </c>
      <c r="M13" s="213">
        <f t="shared" si="16"/>
        <v>840</v>
      </c>
      <c r="N13" s="213">
        <f t="shared" si="16"/>
        <v>840</v>
      </c>
      <c r="O13" s="214">
        <f t="shared" si="16"/>
        <v>840</v>
      </c>
    </row>
    <row r="14" spans="1:15">
      <c r="B14" s="1043" t="str">
        <f>CAPEX!K17</f>
        <v>Water Pumps (kw)</v>
      </c>
      <c r="C14" s="1038">
        <v>4</v>
      </c>
      <c r="D14" s="1046">
        <f t="shared" si="15"/>
        <v>0.25</v>
      </c>
      <c r="E14" s="1051">
        <f>CAPEX!Q17</f>
        <v>31500</v>
      </c>
      <c r="F14" s="213">
        <f>E14*D14</f>
        <v>7875</v>
      </c>
      <c r="G14" s="213">
        <f t="shared" ref="G14:O16" si="18">IF(G$4&lt;=$C14,F14,0)</f>
        <v>7875</v>
      </c>
      <c r="H14" s="213">
        <f t="shared" si="18"/>
        <v>7875</v>
      </c>
      <c r="I14" s="213">
        <f t="shared" si="18"/>
        <v>7875</v>
      </c>
      <c r="J14" s="213">
        <f t="shared" si="18"/>
        <v>0</v>
      </c>
      <c r="K14" s="213">
        <f t="shared" si="18"/>
        <v>0</v>
      </c>
      <c r="L14" s="213">
        <f t="shared" si="18"/>
        <v>0</v>
      </c>
      <c r="M14" s="213">
        <f t="shared" si="18"/>
        <v>0</v>
      </c>
      <c r="N14" s="213">
        <f t="shared" si="18"/>
        <v>0</v>
      </c>
      <c r="O14" s="214">
        <f t="shared" si="18"/>
        <v>0</v>
      </c>
    </row>
    <row r="15" spans="1:15">
      <c r="B15" s="1043" t="str">
        <f>CAPEX!K18</f>
        <v>Breeding Ponds (Koi &amp; Goldfish)</v>
      </c>
      <c r="C15" s="1038">
        <v>10</v>
      </c>
      <c r="D15" s="1046">
        <f t="shared" si="15"/>
        <v>0.1</v>
      </c>
      <c r="E15" s="1051">
        <f>CAPEX!Q18</f>
        <v>18000</v>
      </c>
      <c r="F15" s="213">
        <f t="shared" ref="F15:F16" si="19">E15*D15</f>
        <v>1800</v>
      </c>
      <c r="G15" s="213">
        <f t="shared" si="18"/>
        <v>1800</v>
      </c>
      <c r="H15" s="213">
        <f t="shared" si="18"/>
        <v>1800</v>
      </c>
      <c r="I15" s="213">
        <f t="shared" si="18"/>
        <v>1800</v>
      </c>
      <c r="J15" s="213">
        <f t="shared" si="18"/>
        <v>1800</v>
      </c>
      <c r="K15" s="213">
        <f t="shared" si="18"/>
        <v>1800</v>
      </c>
      <c r="L15" s="213">
        <f t="shared" si="18"/>
        <v>1800</v>
      </c>
      <c r="M15" s="213">
        <f t="shared" si="18"/>
        <v>1800</v>
      </c>
      <c r="N15" s="213">
        <f t="shared" si="18"/>
        <v>1800</v>
      </c>
      <c r="O15" s="214">
        <f t="shared" si="18"/>
        <v>1800</v>
      </c>
    </row>
    <row r="16" spans="1:15">
      <c r="B16" s="1043" t="str">
        <f>CAPEX!K19</f>
        <v>Piping and fittings - Breeding Ponds</v>
      </c>
      <c r="C16" s="1038">
        <v>7</v>
      </c>
      <c r="D16" s="1046">
        <f t="shared" si="15"/>
        <v>0.14285714285714285</v>
      </c>
      <c r="E16" s="1051">
        <f>CAPEX!Q19</f>
        <v>10000</v>
      </c>
      <c r="F16" s="213">
        <f t="shared" si="19"/>
        <v>1428.5714285714284</v>
      </c>
      <c r="G16" s="213">
        <f t="shared" si="18"/>
        <v>1428.5714285714284</v>
      </c>
      <c r="H16" s="213">
        <f t="shared" si="18"/>
        <v>1428.5714285714284</v>
      </c>
      <c r="I16" s="213">
        <f t="shared" si="18"/>
        <v>1428.5714285714284</v>
      </c>
      <c r="J16" s="213">
        <f t="shared" si="18"/>
        <v>1428.5714285714284</v>
      </c>
      <c r="K16" s="213">
        <f t="shared" si="18"/>
        <v>1428.5714285714284</v>
      </c>
      <c r="L16" s="213">
        <f t="shared" si="18"/>
        <v>1428.5714285714284</v>
      </c>
      <c r="M16" s="213">
        <f t="shared" si="18"/>
        <v>0</v>
      </c>
      <c r="N16" s="213">
        <f t="shared" si="18"/>
        <v>0</v>
      </c>
      <c r="O16" s="214">
        <f t="shared" si="18"/>
        <v>0</v>
      </c>
    </row>
    <row r="17" spans="2:15" ht="12.75" thickBot="1">
      <c r="B17" s="1044" t="str">
        <f>CAPEX!K20</f>
        <v>Heating/Cooling - Breeding Ponds</v>
      </c>
      <c r="C17" s="1039">
        <v>6</v>
      </c>
      <c r="D17" s="1047">
        <f t="shared" si="15"/>
        <v>0.16666666666666666</v>
      </c>
      <c r="E17" s="1052">
        <f>CAPEX!Q20</f>
        <v>15000</v>
      </c>
      <c r="F17" s="216">
        <f>E17*D17</f>
        <v>2500</v>
      </c>
      <c r="G17" s="216">
        <f t="shared" ref="G17:O17" si="20">IF(G$4&lt;=$C17,F17,0)</f>
        <v>2500</v>
      </c>
      <c r="H17" s="216">
        <f t="shared" si="20"/>
        <v>2500</v>
      </c>
      <c r="I17" s="216">
        <f t="shared" si="20"/>
        <v>2500</v>
      </c>
      <c r="J17" s="216">
        <f t="shared" si="20"/>
        <v>2500</v>
      </c>
      <c r="K17" s="216">
        <f t="shared" si="20"/>
        <v>2500</v>
      </c>
      <c r="L17" s="216">
        <f t="shared" si="20"/>
        <v>0</v>
      </c>
      <c r="M17" s="216">
        <f t="shared" si="20"/>
        <v>0</v>
      </c>
      <c r="N17" s="216">
        <f t="shared" si="20"/>
        <v>0</v>
      </c>
      <c r="O17" s="217">
        <f t="shared" si="20"/>
        <v>0</v>
      </c>
    </row>
    <row r="18" spans="2:15" ht="12.75" thickBot="1">
      <c r="B18" s="1041" t="s">
        <v>108</v>
      </c>
      <c r="C18" s="902"/>
      <c r="D18" s="908"/>
      <c r="E18" s="1049"/>
      <c r="F18" s="223"/>
      <c r="G18" s="224"/>
      <c r="H18" s="224"/>
      <c r="I18" s="224"/>
      <c r="J18" s="224"/>
      <c r="K18" s="224"/>
      <c r="L18" s="224"/>
      <c r="M18" s="224"/>
      <c r="N18" s="224"/>
      <c r="O18" s="225"/>
    </row>
    <row r="19" spans="2:15">
      <c r="B19" s="205" t="str">
        <f>CAPEX!K22</f>
        <v>Buckets/drums</v>
      </c>
      <c r="C19" s="899">
        <v>7</v>
      </c>
      <c r="D19" s="905">
        <f t="shared" ref="D19:D24" si="21">100%/C19</f>
        <v>0.14285714285714285</v>
      </c>
      <c r="E19" s="218" t="e">
        <f>CAPEX!Q22</f>
        <v>#VALUE!</v>
      </c>
      <c r="F19" s="209" t="e">
        <f t="shared" si="17"/>
        <v>#VALUE!</v>
      </c>
      <c r="G19" s="210" t="e">
        <f>IF(G$4&lt;=$C19,F19,0)</f>
        <v>#VALUE!</v>
      </c>
      <c r="H19" s="210" t="e">
        <f t="shared" ref="H19:O19" si="22">IF(H$4&lt;=$C19,G19,0)</f>
        <v>#VALUE!</v>
      </c>
      <c r="I19" s="210" t="e">
        <f t="shared" si="22"/>
        <v>#VALUE!</v>
      </c>
      <c r="J19" s="210" t="e">
        <f t="shared" si="22"/>
        <v>#VALUE!</v>
      </c>
      <c r="K19" s="210" t="e">
        <f t="shared" si="22"/>
        <v>#VALUE!</v>
      </c>
      <c r="L19" s="210" t="e">
        <f t="shared" si="22"/>
        <v>#VALUE!</v>
      </c>
      <c r="M19" s="210">
        <f t="shared" si="22"/>
        <v>0</v>
      </c>
      <c r="N19" s="210">
        <f t="shared" si="22"/>
        <v>0</v>
      </c>
      <c r="O19" s="211">
        <f t="shared" si="22"/>
        <v>0</v>
      </c>
    </row>
    <row r="20" spans="2:15">
      <c r="B20" s="81" t="str">
        <f>CAPEX!K23</f>
        <v>Water storage tank (m3)</v>
      </c>
      <c r="C20" s="900">
        <v>6</v>
      </c>
      <c r="D20" s="906">
        <f t="shared" si="21"/>
        <v>0.16666666666666666</v>
      </c>
      <c r="E20" s="219">
        <f>CAPEX!Q23</f>
        <v>28000</v>
      </c>
      <c r="F20" s="212">
        <f t="shared" si="17"/>
        <v>4666.6666666666661</v>
      </c>
      <c r="G20" s="213">
        <f t="shared" ref="G20:O24" si="23">IF(G$4&lt;=$C20,F20,0)</f>
        <v>4666.6666666666661</v>
      </c>
      <c r="H20" s="213">
        <f t="shared" si="23"/>
        <v>4666.6666666666661</v>
      </c>
      <c r="I20" s="213">
        <f t="shared" si="23"/>
        <v>4666.6666666666661</v>
      </c>
      <c r="J20" s="213">
        <f t="shared" si="23"/>
        <v>4666.6666666666661</v>
      </c>
      <c r="K20" s="213">
        <f t="shared" si="23"/>
        <v>4666.6666666666661</v>
      </c>
      <c r="L20" s="213">
        <f t="shared" si="23"/>
        <v>0</v>
      </c>
      <c r="M20" s="213">
        <f t="shared" si="23"/>
        <v>0</v>
      </c>
      <c r="N20" s="213">
        <f t="shared" si="23"/>
        <v>0</v>
      </c>
      <c r="O20" s="214">
        <f t="shared" si="23"/>
        <v>0</v>
      </c>
    </row>
    <row r="21" spans="2:15">
      <c r="B21" s="81" t="str">
        <f>CAPEX!K24</f>
        <v>Office Equipment</v>
      </c>
      <c r="C21" s="900">
        <v>4</v>
      </c>
      <c r="D21" s="906">
        <f t="shared" si="21"/>
        <v>0.25</v>
      </c>
      <c r="E21" s="219">
        <f>CAPEX!Q24</f>
        <v>6000</v>
      </c>
      <c r="F21" s="212">
        <f t="shared" si="17"/>
        <v>1500</v>
      </c>
      <c r="G21" s="213">
        <f t="shared" si="23"/>
        <v>1500</v>
      </c>
      <c r="H21" s="213">
        <f t="shared" si="23"/>
        <v>1500</v>
      </c>
      <c r="I21" s="213">
        <f t="shared" si="23"/>
        <v>1500</v>
      </c>
      <c r="J21" s="213">
        <f t="shared" si="23"/>
        <v>0</v>
      </c>
      <c r="K21" s="213">
        <f t="shared" si="23"/>
        <v>0</v>
      </c>
      <c r="L21" s="213">
        <f t="shared" si="23"/>
        <v>0</v>
      </c>
      <c r="M21" s="213">
        <f t="shared" si="23"/>
        <v>0</v>
      </c>
      <c r="N21" s="213">
        <f t="shared" si="23"/>
        <v>0</v>
      </c>
      <c r="O21" s="214">
        <f t="shared" si="23"/>
        <v>0</v>
      </c>
    </row>
    <row r="22" spans="2:15">
      <c r="B22" s="81" t="str">
        <f>CAPEX!K25</f>
        <v>Short/long handle hand net</v>
      </c>
      <c r="C22" s="900">
        <v>4</v>
      </c>
      <c r="D22" s="906">
        <f t="shared" si="21"/>
        <v>0.25</v>
      </c>
      <c r="E22" s="219" t="e">
        <f>CAPEX!Q25</f>
        <v>#VALUE!</v>
      </c>
      <c r="F22" s="212" t="e">
        <f t="shared" si="17"/>
        <v>#VALUE!</v>
      </c>
      <c r="G22" s="213" t="e">
        <f t="shared" si="23"/>
        <v>#VALUE!</v>
      </c>
      <c r="H22" s="213" t="e">
        <f t="shared" si="23"/>
        <v>#VALUE!</v>
      </c>
      <c r="I22" s="213" t="e">
        <f t="shared" si="23"/>
        <v>#VALUE!</v>
      </c>
      <c r="J22" s="213">
        <f t="shared" si="23"/>
        <v>0</v>
      </c>
      <c r="K22" s="213">
        <f t="shared" si="23"/>
        <v>0</v>
      </c>
      <c r="L22" s="213">
        <f t="shared" si="23"/>
        <v>0</v>
      </c>
      <c r="M22" s="213">
        <f t="shared" si="23"/>
        <v>0</v>
      </c>
      <c r="N22" s="213">
        <f t="shared" si="23"/>
        <v>0</v>
      </c>
      <c r="O22" s="214">
        <f t="shared" si="23"/>
        <v>0</v>
      </c>
    </row>
    <row r="23" spans="2:15">
      <c r="B23" s="81" t="str">
        <f>CAPEX!K26</f>
        <v>Aeration (Kw)</v>
      </c>
      <c r="C23" s="900">
        <v>15</v>
      </c>
      <c r="D23" s="906">
        <f t="shared" si="21"/>
        <v>6.6666666666666666E-2</v>
      </c>
      <c r="E23" s="219">
        <f>CAPEX!Q26</f>
        <v>50000</v>
      </c>
      <c r="F23" s="212">
        <f t="shared" si="17"/>
        <v>3333.3333333333335</v>
      </c>
      <c r="G23" s="213">
        <f t="shared" si="23"/>
        <v>3333.3333333333335</v>
      </c>
      <c r="H23" s="213">
        <f t="shared" si="23"/>
        <v>3333.3333333333335</v>
      </c>
      <c r="I23" s="213">
        <f t="shared" si="23"/>
        <v>3333.3333333333335</v>
      </c>
      <c r="J23" s="213">
        <f t="shared" si="23"/>
        <v>3333.3333333333335</v>
      </c>
      <c r="K23" s="213">
        <f t="shared" si="23"/>
        <v>3333.3333333333335</v>
      </c>
      <c r="L23" s="213">
        <f t="shared" si="23"/>
        <v>3333.3333333333335</v>
      </c>
      <c r="M23" s="213">
        <f t="shared" si="23"/>
        <v>3333.3333333333335</v>
      </c>
      <c r="N23" s="213">
        <f t="shared" si="23"/>
        <v>3333.3333333333335</v>
      </c>
      <c r="O23" s="214">
        <f t="shared" si="23"/>
        <v>3333.3333333333335</v>
      </c>
    </row>
    <row r="24" spans="2:15" ht="12.75" thickBot="1">
      <c r="B24" s="206" t="str">
        <f>CAPEX!K27</f>
        <v>Vehicle</v>
      </c>
      <c r="C24" s="901">
        <v>4</v>
      </c>
      <c r="D24" s="907">
        <f t="shared" si="21"/>
        <v>0.25</v>
      </c>
      <c r="E24" s="220">
        <f>CAPEX!Q27</f>
        <v>200000</v>
      </c>
      <c r="F24" s="215">
        <f>E24*D24</f>
        <v>50000</v>
      </c>
      <c r="G24" s="216">
        <f t="shared" si="23"/>
        <v>50000</v>
      </c>
      <c r="H24" s="216">
        <f t="shared" si="23"/>
        <v>50000</v>
      </c>
      <c r="I24" s="216">
        <f t="shared" si="23"/>
        <v>50000</v>
      </c>
      <c r="J24" s="216">
        <f t="shared" si="23"/>
        <v>0</v>
      </c>
      <c r="K24" s="216">
        <f t="shared" si="23"/>
        <v>0</v>
      </c>
      <c r="L24" s="216">
        <f t="shared" si="23"/>
        <v>0</v>
      </c>
      <c r="M24" s="216">
        <f t="shared" si="23"/>
        <v>0</v>
      </c>
      <c r="N24" s="216">
        <f t="shared" si="23"/>
        <v>0</v>
      </c>
      <c r="O24" s="217">
        <f t="shared" si="23"/>
        <v>0</v>
      </c>
    </row>
    <row r="25" spans="2:15" ht="12.75" thickBot="1">
      <c r="B25" s="48" t="s">
        <v>128</v>
      </c>
      <c r="C25" s="903"/>
      <c r="D25" s="903"/>
      <c r="E25" s="221" t="e">
        <f t="shared" ref="E25:O25" si="24">SUM(E6:E24)</f>
        <v>#VALUE!</v>
      </c>
      <c r="F25" s="221" t="e">
        <f t="shared" si="24"/>
        <v>#VALUE!</v>
      </c>
      <c r="G25" s="221" t="e">
        <f t="shared" si="24"/>
        <v>#VALUE!</v>
      </c>
      <c r="H25" s="221" t="e">
        <f t="shared" si="24"/>
        <v>#VALUE!</v>
      </c>
      <c r="I25" s="221" t="e">
        <f t="shared" si="24"/>
        <v>#VALUE!</v>
      </c>
      <c r="J25" s="221" t="e">
        <f t="shared" si="24"/>
        <v>#VALUE!</v>
      </c>
      <c r="K25" s="221" t="e">
        <f t="shared" si="24"/>
        <v>#VALUE!</v>
      </c>
      <c r="L25" s="221" t="e">
        <f t="shared" si="24"/>
        <v>#VALUE!</v>
      </c>
      <c r="M25" s="221" t="e">
        <f t="shared" si="24"/>
        <v>#VALUE!</v>
      </c>
      <c r="N25" s="221" t="e">
        <f t="shared" si="24"/>
        <v>#VALUE!</v>
      </c>
      <c r="O25" s="222" t="e">
        <f t="shared" si="24"/>
        <v>#VALUE!</v>
      </c>
    </row>
    <row r="26" spans="2:15">
      <c r="B26" s="88"/>
      <c r="C26" s="207"/>
    </row>
    <row r="27" spans="2:15">
      <c r="B27" s="88"/>
      <c r="C27" s="199"/>
    </row>
    <row r="28" spans="2:15">
      <c r="B28" s="88"/>
      <c r="C28" s="88"/>
    </row>
    <row r="29" spans="2:15">
      <c r="B29" s="88"/>
      <c r="C29" s="88"/>
    </row>
    <row r="30" spans="2:15">
      <c r="B30" s="88"/>
      <c r="C30" s="88"/>
    </row>
    <row r="31" spans="2:15">
      <c r="B31" s="88"/>
      <c r="C31" s="88"/>
    </row>
    <row r="32" spans="2:15">
      <c r="B32" s="88"/>
      <c r="C32" s="88"/>
    </row>
    <row r="33" spans="2:3">
      <c r="B33" s="88"/>
      <c r="C33" s="88"/>
    </row>
    <row r="34" spans="2:3">
      <c r="B34" s="88"/>
      <c r="C34" s="88"/>
    </row>
    <row r="35" spans="2:3">
      <c r="B35" s="88"/>
      <c r="C35" s="88"/>
    </row>
    <row r="36" spans="2:3">
      <c r="B36" s="88"/>
      <c r="C36" s="88"/>
    </row>
  </sheetData>
  <mergeCells count="6">
    <mergeCell ref="F3:O3"/>
    <mergeCell ref="A1:XFD1"/>
    <mergeCell ref="C3:C4"/>
    <mergeCell ref="B3:B4"/>
    <mergeCell ref="D3:D4"/>
    <mergeCell ref="E3:E4"/>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04A8B-F652-4028-8FCC-9413A9B13F29}">
  <sheetPr codeName="Sheet35">
    <tabColor theme="5" tint="0.39997558519241921"/>
  </sheetPr>
  <dimension ref="A1:J256"/>
  <sheetViews>
    <sheetView workbookViewId="0">
      <selection sqref="A1:XFD1"/>
    </sheetView>
  </sheetViews>
  <sheetFormatPr defaultColWidth="9.140625" defaultRowHeight="12.75"/>
  <cols>
    <col min="1" max="1" width="17.5703125" style="515" bestFit="1" customWidth="1"/>
    <col min="2" max="2" width="17.42578125" style="515" bestFit="1" customWidth="1"/>
    <col min="3" max="3" width="13.140625" style="515" bestFit="1" customWidth="1"/>
    <col min="4" max="4" width="8.7109375" style="515" bestFit="1" customWidth="1"/>
    <col min="5" max="5" width="9" style="515" bestFit="1" customWidth="1"/>
    <col min="6" max="6" width="19.5703125" style="515" bestFit="1" customWidth="1"/>
    <col min="7" max="7" width="18.85546875" style="515" bestFit="1" customWidth="1"/>
    <col min="8" max="8" width="14.42578125" style="515" bestFit="1" customWidth="1"/>
    <col min="9" max="16384" width="9.140625" style="515"/>
  </cols>
  <sheetData>
    <row r="1" spans="1:10" s="1210" customFormat="1" ht="15">
      <c r="A1" s="1210" t="s">
        <v>446</v>
      </c>
    </row>
    <row r="3" spans="1:10" s="765" customFormat="1" ht="13.5" thickBot="1">
      <c r="A3" s="764" t="s">
        <v>69</v>
      </c>
      <c r="B3" s="764"/>
      <c r="C3" s="764"/>
      <c r="D3" s="764"/>
      <c r="E3" s="764"/>
      <c r="F3" s="764"/>
      <c r="G3" s="764"/>
      <c r="H3" s="764"/>
      <c r="I3" s="764"/>
      <c r="J3" s="764"/>
    </row>
    <row r="4" spans="1:10">
      <c r="A4" s="766" t="s">
        <v>70</v>
      </c>
      <c r="B4" s="767">
        <f>B10</f>
        <v>0</v>
      </c>
    </row>
    <row r="5" spans="1:10">
      <c r="A5" s="768" t="s">
        <v>71</v>
      </c>
      <c r="B5" s="769">
        <f>B11/12</f>
        <v>0</v>
      </c>
    </row>
    <row r="6" spans="1:10">
      <c r="A6" s="768" t="s">
        <v>72</v>
      </c>
      <c r="B6" s="770">
        <v>12</v>
      </c>
    </row>
    <row r="7" spans="1:10" ht="13.5" thickBot="1">
      <c r="A7" s="771" t="s">
        <v>73</v>
      </c>
      <c r="B7" s="772">
        <f>PMT(B5,B6,-B4)</f>
        <v>0</v>
      </c>
    </row>
    <row r="9" spans="1:10" s="765" customFormat="1" ht="13.5" thickBot="1">
      <c r="A9" s="1224" t="s">
        <v>74</v>
      </c>
      <c r="B9" s="1224"/>
    </row>
    <row r="10" spans="1:10">
      <c r="A10" s="766" t="s">
        <v>75</v>
      </c>
      <c r="B10" s="767">
        <f>IF(Interface!H16="DEBT",CAPEX!$Q$28+'Working Capital - Pond'!C34, IF(Interface!H16="DEBT/EQUITY",(CAPEX!$Q$28+'Working Capital - Pond'!C34)*Interface!I16,0))</f>
        <v>0</v>
      </c>
    </row>
    <row r="11" spans="1:10">
      <c r="A11" s="768" t="s">
        <v>76</v>
      </c>
      <c r="B11" s="769">
        <f>Interface!I28</f>
        <v>0</v>
      </c>
    </row>
    <row r="12" spans="1:10">
      <c r="A12" s="768" t="s">
        <v>19</v>
      </c>
      <c r="B12" s="770" t="e">
        <f>B13*12</f>
        <v>#VALUE!</v>
      </c>
    </row>
    <row r="13" spans="1:10" ht="26.25" thickBot="1">
      <c r="A13" s="771" t="s">
        <v>239</v>
      </c>
      <c r="B13" s="772" t="str">
        <f>Interface!J28</f>
        <v>&lt;Please select a payback period&gt;</v>
      </c>
    </row>
    <row r="14" spans="1:10">
      <c r="A14" s="766" t="s">
        <v>77</v>
      </c>
      <c r="B14" s="767" t="e">
        <f>ROUND(PMT($B$11/12,$B$12,-$B$10, 0),0)</f>
        <v>#VALUE!</v>
      </c>
      <c r="C14" s="896" t="e">
        <f>B14*12</f>
        <v>#VALUE!</v>
      </c>
    </row>
    <row r="15" spans="1:10" ht="13.5" thickBot="1"/>
    <row r="16" spans="1:10" ht="13.5" thickBot="1">
      <c r="A16" s="774" t="s">
        <v>78</v>
      </c>
      <c r="B16" s="774" t="s">
        <v>79</v>
      </c>
      <c r="C16" s="774" t="s">
        <v>80</v>
      </c>
      <c r="D16" s="774" t="s">
        <v>81</v>
      </c>
      <c r="E16" s="774" t="s">
        <v>82</v>
      </c>
      <c r="F16" s="774" t="s">
        <v>83</v>
      </c>
      <c r="G16" s="774" t="s">
        <v>84</v>
      </c>
      <c r="H16" s="774" t="s">
        <v>85</v>
      </c>
    </row>
    <row r="17" spans="1:8" ht="13.5" thickBot="1">
      <c r="A17" s="775">
        <v>1</v>
      </c>
      <c r="B17" s="776">
        <f>$B$10</f>
        <v>0</v>
      </c>
      <c r="C17" s="777" t="e">
        <f>$B$14</f>
        <v>#VALUE!</v>
      </c>
      <c r="D17" s="777" t="e">
        <f>$C17-$E17</f>
        <v>#VALUE!</v>
      </c>
      <c r="E17" s="776">
        <f>IF($B17*$B$5&gt;0,$B17*$B$5,0)</f>
        <v>0</v>
      </c>
      <c r="F17" s="778"/>
      <c r="G17" s="778"/>
      <c r="H17" s="776" t="e">
        <f>$B17-$D17</f>
        <v>#VALUE!</v>
      </c>
    </row>
    <row r="18" spans="1:8" ht="13.5" thickBot="1">
      <c r="A18" s="775">
        <v>2</v>
      </c>
      <c r="B18" s="776" t="e">
        <f>H17</f>
        <v>#VALUE!</v>
      </c>
      <c r="C18" s="777" t="e">
        <f t="shared" ref="C18:C81" si="0">$B$14</f>
        <v>#VALUE!</v>
      </c>
      <c r="D18" s="777" t="e">
        <f t="shared" ref="D18:D81" si="1">$C18-$E18</f>
        <v>#VALUE!</v>
      </c>
      <c r="E18" s="776" t="e">
        <f>IF($B18*$B$5&gt;0,$B18*$B$5,0)</f>
        <v>#VALUE!</v>
      </c>
      <c r="F18" s="778"/>
      <c r="G18" s="778"/>
      <c r="H18" s="776" t="e">
        <f t="shared" ref="H18:H81" si="2">$B18-$D18</f>
        <v>#VALUE!</v>
      </c>
    </row>
    <row r="19" spans="1:8" ht="13.5" thickBot="1">
      <c r="A19" s="775">
        <v>3</v>
      </c>
      <c r="B19" s="776" t="e">
        <f t="shared" ref="B19:B82" si="3">H18</f>
        <v>#VALUE!</v>
      </c>
      <c r="C19" s="777" t="e">
        <f t="shared" si="0"/>
        <v>#VALUE!</v>
      </c>
      <c r="D19" s="777" t="e">
        <f t="shared" si="1"/>
        <v>#VALUE!</v>
      </c>
      <c r="E19" s="776" t="e">
        <f>IF($B19*$B$5&gt;0,$B19*$B$5,0)</f>
        <v>#VALUE!</v>
      </c>
      <c r="F19" s="778"/>
      <c r="G19" s="778"/>
      <c r="H19" s="776" t="e">
        <f t="shared" si="2"/>
        <v>#VALUE!</v>
      </c>
    </row>
    <row r="20" spans="1:8" ht="13.5" thickBot="1">
      <c r="A20" s="775">
        <v>4</v>
      </c>
      <c r="B20" s="776" t="e">
        <f t="shared" si="3"/>
        <v>#VALUE!</v>
      </c>
      <c r="C20" s="777" t="e">
        <f t="shared" si="0"/>
        <v>#VALUE!</v>
      </c>
      <c r="D20" s="777" t="e">
        <f t="shared" si="1"/>
        <v>#VALUE!</v>
      </c>
      <c r="E20" s="776" t="e">
        <f>IF($B20*$B$5&gt;0,$B20*$B$5,0)</f>
        <v>#VALUE!</v>
      </c>
      <c r="F20" s="778"/>
      <c r="G20" s="778"/>
      <c r="H20" s="776" t="e">
        <f t="shared" si="2"/>
        <v>#VALUE!</v>
      </c>
    </row>
    <row r="21" spans="1:8" ht="13.5" thickBot="1">
      <c r="A21" s="775">
        <v>5</v>
      </c>
      <c r="B21" s="776" t="e">
        <f t="shared" si="3"/>
        <v>#VALUE!</v>
      </c>
      <c r="C21" s="777" t="e">
        <f t="shared" si="0"/>
        <v>#VALUE!</v>
      </c>
      <c r="D21" s="777" t="e">
        <f t="shared" si="1"/>
        <v>#VALUE!</v>
      </c>
      <c r="E21" s="776" t="e">
        <f>IF($B21*$B$5&gt;0,$B21*$B$5,0)</f>
        <v>#VALUE!</v>
      </c>
      <c r="F21" s="778"/>
      <c r="G21" s="778"/>
      <c r="H21" s="776" t="e">
        <f t="shared" si="2"/>
        <v>#VALUE!</v>
      </c>
    </row>
    <row r="22" spans="1:8" ht="13.5" thickBot="1">
      <c r="A22" s="775">
        <v>6</v>
      </c>
      <c r="B22" s="776" t="e">
        <f t="shared" si="3"/>
        <v>#VALUE!</v>
      </c>
      <c r="C22" s="777" t="e">
        <f t="shared" si="0"/>
        <v>#VALUE!</v>
      </c>
      <c r="D22" s="777" t="e">
        <f t="shared" si="1"/>
        <v>#VALUE!</v>
      </c>
      <c r="E22" s="776" t="e">
        <f t="shared" ref="E22:E85" si="4">IF($B22*$B$5&gt;0,$B22*$B$5,0)</f>
        <v>#VALUE!</v>
      </c>
      <c r="F22" s="778"/>
      <c r="G22" s="778"/>
      <c r="H22" s="776" t="e">
        <f t="shared" si="2"/>
        <v>#VALUE!</v>
      </c>
    </row>
    <row r="23" spans="1:8" ht="13.5" thickBot="1">
      <c r="A23" s="775">
        <v>7</v>
      </c>
      <c r="B23" s="776" t="e">
        <f t="shared" si="3"/>
        <v>#VALUE!</v>
      </c>
      <c r="C23" s="777" t="e">
        <f t="shared" si="0"/>
        <v>#VALUE!</v>
      </c>
      <c r="D23" s="777" t="e">
        <f t="shared" si="1"/>
        <v>#VALUE!</v>
      </c>
      <c r="E23" s="776" t="e">
        <f t="shared" si="4"/>
        <v>#VALUE!</v>
      </c>
      <c r="F23" s="778"/>
      <c r="G23" s="778"/>
      <c r="H23" s="776" t="e">
        <f t="shared" si="2"/>
        <v>#VALUE!</v>
      </c>
    </row>
    <row r="24" spans="1:8" ht="13.5" thickBot="1">
      <c r="A24" s="775">
        <v>8</v>
      </c>
      <c r="B24" s="776" t="e">
        <f t="shared" si="3"/>
        <v>#VALUE!</v>
      </c>
      <c r="C24" s="777" t="e">
        <f t="shared" si="0"/>
        <v>#VALUE!</v>
      </c>
      <c r="D24" s="777" t="e">
        <f t="shared" si="1"/>
        <v>#VALUE!</v>
      </c>
      <c r="E24" s="776" t="e">
        <f t="shared" si="4"/>
        <v>#VALUE!</v>
      </c>
      <c r="F24" s="778"/>
      <c r="G24" s="778"/>
      <c r="H24" s="776" t="e">
        <f t="shared" si="2"/>
        <v>#VALUE!</v>
      </c>
    </row>
    <row r="25" spans="1:8" ht="13.5" thickBot="1">
      <c r="A25" s="775">
        <v>9</v>
      </c>
      <c r="B25" s="776" t="e">
        <f t="shared" si="3"/>
        <v>#VALUE!</v>
      </c>
      <c r="C25" s="777" t="e">
        <f t="shared" si="0"/>
        <v>#VALUE!</v>
      </c>
      <c r="D25" s="777" t="e">
        <f t="shared" si="1"/>
        <v>#VALUE!</v>
      </c>
      <c r="E25" s="776" t="e">
        <f t="shared" si="4"/>
        <v>#VALUE!</v>
      </c>
      <c r="F25" s="778"/>
      <c r="G25" s="778"/>
      <c r="H25" s="776" t="e">
        <f t="shared" si="2"/>
        <v>#VALUE!</v>
      </c>
    </row>
    <row r="26" spans="1:8" ht="13.5" thickBot="1">
      <c r="A26" s="775">
        <v>10</v>
      </c>
      <c r="B26" s="776" t="e">
        <f t="shared" si="3"/>
        <v>#VALUE!</v>
      </c>
      <c r="C26" s="777" t="e">
        <f t="shared" si="0"/>
        <v>#VALUE!</v>
      </c>
      <c r="D26" s="777" t="e">
        <f t="shared" si="1"/>
        <v>#VALUE!</v>
      </c>
      <c r="E26" s="776" t="e">
        <f t="shared" si="4"/>
        <v>#VALUE!</v>
      </c>
      <c r="F26" s="778"/>
      <c r="G26" s="778"/>
      <c r="H26" s="776" t="e">
        <f t="shared" si="2"/>
        <v>#VALUE!</v>
      </c>
    </row>
    <row r="27" spans="1:8" ht="13.5" thickBot="1">
      <c r="A27" s="775">
        <v>11</v>
      </c>
      <c r="B27" s="776" t="e">
        <f t="shared" si="3"/>
        <v>#VALUE!</v>
      </c>
      <c r="C27" s="777" t="e">
        <f t="shared" si="0"/>
        <v>#VALUE!</v>
      </c>
      <c r="D27" s="777" t="e">
        <f t="shared" si="1"/>
        <v>#VALUE!</v>
      </c>
      <c r="E27" s="776" t="e">
        <f t="shared" si="4"/>
        <v>#VALUE!</v>
      </c>
      <c r="F27" s="778"/>
      <c r="G27" s="778"/>
      <c r="H27" s="776" t="e">
        <f t="shared" si="2"/>
        <v>#VALUE!</v>
      </c>
    </row>
    <row r="28" spans="1:8" ht="13.5" thickBot="1">
      <c r="A28" s="775">
        <v>12</v>
      </c>
      <c r="B28" s="776" t="e">
        <f t="shared" si="3"/>
        <v>#VALUE!</v>
      </c>
      <c r="C28" s="777" t="e">
        <f t="shared" si="0"/>
        <v>#VALUE!</v>
      </c>
      <c r="D28" s="777" t="e">
        <f t="shared" si="1"/>
        <v>#VALUE!</v>
      </c>
      <c r="E28" s="776" t="e">
        <f t="shared" si="4"/>
        <v>#VALUE!</v>
      </c>
      <c r="F28" s="778"/>
      <c r="G28" s="778"/>
      <c r="H28" s="776" t="e">
        <f t="shared" si="2"/>
        <v>#VALUE!</v>
      </c>
    </row>
    <row r="29" spans="1:8" ht="13.5" thickBot="1">
      <c r="A29" s="775">
        <v>13</v>
      </c>
      <c r="B29" s="776" t="e">
        <f t="shared" si="3"/>
        <v>#VALUE!</v>
      </c>
      <c r="C29" s="777" t="e">
        <f t="shared" si="0"/>
        <v>#VALUE!</v>
      </c>
      <c r="D29" s="777" t="e">
        <f t="shared" si="1"/>
        <v>#VALUE!</v>
      </c>
      <c r="E29" s="776" t="e">
        <f t="shared" si="4"/>
        <v>#VALUE!</v>
      </c>
      <c r="F29" s="778"/>
      <c r="G29" s="778"/>
      <c r="H29" s="776" t="e">
        <f t="shared" si="2"/>
        <v>#VALUE!</v>
      </c>
    </row>
    <row r="30" spans="1:8" ht="13.5" thickBot="1">
      <c r="A30" s="775">
        <v>14</v>
      </c>
      <c r="B30" s="776" t="e">
        <f t="shared" si="3"/>
        <v>#VALUE!</v>
      </c>
      <c r="C30" s="777" t="e">
        <f t="shared" si="0"/>
        <v>#VALUE!</v>
      </c>
      <c r="D30" s="777" t="e">
        <f t="shared" si="1"/>
        <v>#VALUE!</v>
      </c>
      <c r="E30" s="776" t="e">
        <f t="shared" si="4"/>
        <v>#VALUE!</v>
      </c>
      <c r="F30" s="778"/>
      <c r="G30" s="778"/>
      <c r="H30" s="776" t="e">
        <f t="shared" si="2"/>
        <v>#VALUE!</v>
      </c>
    </row>
    <row r="31" spans="1:8" ht="13.5" thickBot="1">
      <c r="A31" s="775">
        <v>15</v>
      </c>
      <c r="B31" s="776" t="e">
        <f t="shared" si="3"/>
        <v>#VALUE!</v>
      </c>
      <c r="C31" s="777" t="e">
        <f t="shared" si="0"/>
        <v>#VALUE!</v>
      </c>
      <c r="D31" s="777" t="e">
        <f t="shared" si="1"/>
        <v>#VALUE!</v>
      </c>
      <c r="E31" s="776" t="e">
        <f t="shared" si="4"/>
        <v>#VALUE!</v>
      </c>
      <c r="F31" s="778"/>
      <c r="G31" s="778"/>
      <c r="H31" s="776" t="e">
        <f t="shared" si="2"/>
        <v>#VALUE!</v>
      </c>
    </row>
    <row r="32" spans="1:8" ht="13.5" thickBot="1">
      <c r="A32" s="775">
        <v>16</v>
      </c>
      <c r="B32" s="776" t="e">
        <f t="shared" si="3"/>
        <v>#VALUE!</v>
      </c>
      <c r="C32" s="777" t="e">
        <f t="shared" si="0"/>
        <v>#VALUE!</v>
      </c>
      <c r="D32" s="777" t="e">
        <f t="shared" si="1"/>
        <v>#VALUE!</v>
      </c>
      <c r="E32" s="776" t="e">
        <f t="shared" si="4"/>
        <v>#VALUE!</v>
      </c>
      <c r="F32" s="778"/>
      <c r="G32" s="778"/>
      <c r="H32" s="776" t="e">
        <f t="shared" si="2"/>
        <v>#VALUE!</v>
      </c>
    </row>
    <row r="33" spans="1:8" ht="13.5" thickBot="1">
      <c r="A33" s="775">
        <v>17</v>
      </c>
      <c r="B33" s="776" t="e">
        <f t="shared" si="3"/>
        <v>#VALUE!</v>
      </c>
      <c r="C33" s="777" t="e">
        <f t="shared" si="0"/>
        <v>#VALUE!</v>
      </c>
      <c r="D33" s="777" t="e">
        <f t="shared" si="1"/>
        <v>#VALUE!</v>
      </c>
      <c r="E33" s="776" t="e">
        <f t="shared" si="4"/>
        <v>#VALUE!</v>
      </c>
      <c r="F33" s="778"/>
      <c r="G33" s="778"/>
      <c r="H33" s="776" t="e">
        <f t="shared" si="2"/>
        <v>#VALUE!</v>
      </c>
    </row>
    <row r="34" spans="1:8" ht="13.5" thickBot="1">
      <c r="A34" s="775">
        <v>18</v>
      </c>
      <c r="B34" s="776" t="e">
        <f t="shared" si="3"/>
        <v>#VALUE!</v>
      </c>
      <c r="C34" s="777" t="e">
        <f t="shared" si="0"/>
        <v>#VALUE!</v>
      </c>
      <c r="D34" s="777" t="e">
        <f t="shared" si="1"/>
        <v>#VALUE!</v>
      </c>
      <c r="E34" s="776" t="e">
        <f t="shared" si="4"/>
        <v>#VALUE!</v>
      </c>
      <c r="F34" s="778"/>
      <c r="G34" s="778"/>
      <c r="H34" s="776" t="e">
        <f t="shared" si="2"/>
        <v>#VALUE!</v>
      </c>
    </row>
    <row r="35" spans="1:8" ht="13.5" thickBot="1">
      <c r="A35" s="775">
        <v>19</v>
      </c>
      <c r="B35" s="776" t="e">
        <f t="shared" si="3"/>
        <v>#VALUE!</v>
      </c>
      <c r="C35" s="777" t="e">
        <f t="shared" si="0"/>
        <v>#VALUE!</v>
      </c>
      <c r="D35" s="777" t="e">
        <f t="shared" si="1"/>
        <v>#VALUE!</v>
      </c>
      <c r="E35" s="776" t="e">
        <f t="shared" si="4"/>
        <v>#VALUE!</v>
      </c>
      <c r="F35" s="778"/>
      <c r="G35" s="778"/>
      <c r="H35" s="776" t="e">
        <f t="shared" si="2"/>
        <v>#VALUE!</v>
      </c>
    </row>
    <row r="36" spans="1:8" ht="13.5" thickBot="1">
      <c r="A36" s="775">
        <v>20</v>
      </c>
      <c r="B36" s="776" t="e">
        <f t="shared" si="3"/>
        <v>#VALUE!</v>
      </c>
      <c r="C36" s="777" t="e">
        <f t="shared" si="0"/>
        <v>#VALUE!</v>
      </c>
      <c r="D36" s="777" t="e">
        <f t="shared" si="1"/>
        <v>#VALUE!</v>
      </c>
      <c r="E36" s="776" t="e">
        <f t="shared" si="4"/>
        <v>#VALUE!</v>
      </c>
      <c r="F36" s="778"/>
      <c r="G36" s="778"/>
      <c r="H36" s="776" t="e">
        <f t="shared" si="2"/>
        <v>#VALUE!</v>
      </c>
    </row>
    <row r="37" spans="1:8" ht="13.5" thickBot="1">
      <c r="A37" s="775">
        <v>21</v>
      </c>
      <c r="B37" s="776" t="e">
        <f t="shared" si="3"/>
        <v>#VALUE!</v>
      </c>
      <c r="C37" s="777" t="e">
        <f t="shared" si="0"/>
        <v>#VALUE!</v>
      </c>
      <c r="D37" s="777" t="e">
        <f t="shared" si="1"/>
        <v>#VALUE!</v>
      </c>
      <c r="E37" s="776" t="e">
        <f t="shared" si="4"/>
        <v>#VALUE!</v>
      </c>
      <c r="F37" s="778"/>
      <c r="G37" s="778"/>
      <c r="H37" s="776" t="e">
        <f t="shared" si="2"/>
        <v>#VALUE!</v>
      </c>
    </row>
    <row r="38" spans="1:8" ht="13.5" thickBot="1">
      <c r="A38" s="775">
        <v>22</v>
      </c>
      <c r="B38" s="776" t="e">
        <f t="shared" si="3"/>
        <v>#VALUE!</v>
      </c>
      <c r="C38" s="777" t="e">
        <f t="shared" si="0"/>
        <v>#VALUE!</v>
      </c>
      <c r="D38" s="777" t="e">
        <f t="shared" si="1"/>
        <v>#VALUE!</v>
      </c>
      <c r="E38" s="776" t="e">
        <f t="shared" si="4"/>
        <v>#VALUE!</v>
      </c>
      <c r="F38" s="778"/>
      <c r="G38" s="778"/>
      <c r="H38" s="776" t="e">
        <f t="shared" si="2"/>
        <v>#VALUE!</v>
      </c>
    </row>
    <row r="39" spans="1:8" ht="13.5" thickBot="1">
      <c r="A39" s="775">
        <v>23</v>
      </c>
      <c r="B39" s="776" t="e">
        <f t="shared" si="3"/>
        <v>#VALUE!</v>
      </c>
      <c r="C39" s="777" t="e">
        <f t="shared" si="0"/>
        <v>#VALUE!</v>
      </c>
      <c r="D39" s="777" t="e">
        <f t="shared" si="1"/>
        <v>#VALUE!</v>
      </c>
      <c r="E39" s="776" t="e">
        <f t="shared" si="4"/>
        <v>#VALUE!</v>
      </c>
      <c r="F39" s="778"/>
      <c r="G39" s="778"/>
      <c r="H39" s="776" t="e">
        <f t="shared" si="2"/>
        <v>#VALUE!</v>
      </c>
    </row>
    <row r="40" spans="1:8" ht="13.5" thickBot="1">
      <c r="A40" s="775">
        <v>24</v>
      </c>
      <c r="B40" s="776" t="e">
        <f t="shared" si="3"/>
        <v>#VALUE!</v>
      </c>
      <c r="C40" s="777" t="e">
        <f t="shared" si="0"/>
        <v>#VALUE!</v>
      </c>
      <c r="D40" s="777" t="e">
        <f t="shared" si="1"/>
        <v>#VALUE!</v>
      </c>
      <c r="E40" s="776" t="e">
        <f t="shared" si="4"/>
        <v>#VALUE!</v>
      </c>
      <c r="F40" s="778"/>
      <c r="G40" s="778"/>
      <c r="H40" s="776" t="e">
        <f t="shared" si="2"/>
        <v>#VALUE!</v>
      </c>
    </row>
    <row r="41" spans="1:8" ht="13.5" thickBot="1">
      <c r="A41" s="775">
        <v>25</v>
      </c>
      <c r="B41" s="776" t="e">
        <f t="shared" si="3"/>
        <v>#VALUE!</v>
      </c>
      <c r="C41" s="777" t="e">
        <f t="shared" si="0"/>
        <v>#VALUE!</v>
      </c>
      <c r="D41" s="777" t="e">
        <f t="shared" si="1"/>
        <v>#VALUE!</v>
      </c>
      <c r="E41" s="776" t="e">
        <f t="shared" si="4"/>
        <v>#VALUE!</v>
      </c>
      <c r="F41" s="778"/>
      <c r="G41" s="778"/>
      <c r="H41" s="776" t="e">
        <f t="shared" si="2"/>
        <v>#VALUE!</v>
      </c>
    </row>
    <row r="42" spans="1:8" ht="13.5" thickBot="1">
      <c r="A42" s="775">
        <v>26</v>
      </c>
      <c r="B42" s="776" t="e">
        <f t="shared" si="3"/>
        <v>#VALUE!</v>
      </c>
      <c r="C42" s="777" t="e">
        <f t="shared" si="0"/>
        <v>#VALUE!</v>
      </c>
      <c r="D42" s="777" t="e">
        <f t="shared" si="1"/>
        <v>#VALUE!</v>
      </c>
      <c r="E42" s="776" t="e">
        <f t="shared" si="4"/>
        <v>#VALUE!</v>
      </c>
      <c r="F42" s="778"/>
      <c r="G42" s="778"/>
      <c r="H42" s="776" t="e">
        <f t="shared" si="2"/>
        <v>#VALUE!</v>
      </c>
    </row>
    <row r="43" spans="1:8" ht="13.5" thickBot="1">
      <c r="A43" s="775">
        <v>27</v>
      </c>
      <c r="B43" s="776" t="e">
        <f t="shared" si="3"/>
        <v>#VALUE!</v>
      </c>
      <c r="C43" s="777" t="e">
        <f t="shared" si="0"/>
        <v>#VALUE!</v>
      </c>
      <c r="D43" s="777" t="e">
        <f t="shared" si="1"/>
        <v>#VALUE!</v>
      </c>
      <c r="E43" s="776" t="e">
        <f t="shared" si="4"/>
        <v>#VALUE!</v>
      </c>
      <c r="F43" s="778"/>
      <c r="G43" s="778"/>
      <c r="H43" s="776" t="e">
        <f t="shared" si="2"/>
        <v>#VALUE!</v>
      </c>
    </row>
    <row r="44" spans="1:8" ht="13.5" thickBot="1">
      <c r="A44" s="775">
        <v>28</v>
      </c>
      <c r="B44" s="776" t="e">
        <f t="shared" si="3"/>
        <v>#VALUE!</v>
      </c>
      <c r="C44" s="777" t="e">
        <f t="shared" si="0"/>
        <v>#VALUE!</v>
      </c>
      <c r="D44" s="777" t="e">
        <f t="shared" si="1"/>
        <v>#VALUE!</v>
      </c>
      <c r="E44" s="776" t="e">
        <f t="shared" si="4"/>
        <v>#VALUE!</v>
      </c>
      <c r="F44" s="778"/>
      <c r="G44" s="778"/>
      <c r="H44" s="776" t="e">
        <f t="shared" si="2"/>
        <v>#VALUE!</v>
      </c>
    </row>
    <row r="45" spans="1:8" ht="13.5" thickBot="1">
      <c r="A45" s="775">
        <v>29</v>
      </c>
      <c r="B45" s="776" t="e">
        <f t="shared" si="3"/>
        <v>#VALUE!</v>
      </c>
      <c r="C45" s="777" t="e">
        <f t="shared" si="0"/>
        <v>#VALUE!</v>
      </c>
      <c r="D45" s="777" t="e">
        <f t="shared" si="1"/>
        <v>#VALUE!</v>
      </c>
      <c r="E45" s="776" t="e">
        <f t="shared" si="4"/>
        <v>#VALUE!</v>
      </c>
      <c r="F45" s="778"/>
      <c r="G45" s="778"/>
      <c r="H45" s="776" t="e">
        <f t="shared" si="2"/>
        <v>#VALUE!</v>
      </c>
    </row>
    <row r="46" spans="1:8" ht="13.5" thickBot="1">
      <c r="A46" s="775">
        <v>30</v>
      </c>
      <c r="B46" s="776" t="e">
        <f t="shared" si="3"/>
        <v>#VALUE!</v>
      </c>
      <c r="C46" s="777" t="e">
        <f t="shared" si="0"/>
        <v>#VALUE!</v>
      </c>
      <c r="D46" s="777" t="e">
        <f t="shared" si="1"/>
        <v>#VALUE!</v>
      </c>
      <c r="E46" s="776" t="e">
        <f t="shared" si="4"/>
        <v>#VALUE!</v>
      </c>
      <c r="F46" s="778"/>
      <c r="G46" s="778"/>
      <c r="H46" s="776" t="e">
        <f t="shared" si="2"/>
        <v>#VALUE!</v>
      </c>
    </row>
    <row r="47" spans="1:8" ht="13.5" thickBot="1">
      <c r="A47" s="775">
        <v>31</v>
      </c>
      <c r="B47" s="776" t="e">
        <f t="shared" si="3"/>
        <v>#VALUE!</v>
      </c>
      <c r="C47" s="777" t="e">
        <f t="shared" si="0"/>
        <v>#VALUE!</v>
      </c>
      <c r="D47" s="777" t="e">
        <f t="shared" si="1"/>
        <v>#VALUE!</v>
      </c>
      <c r="E47" s="776" t="e">
        <f t="shared" si="4"/>
        <v>#VALUE!</v>
      </c>
      <c r="F47" s="778"/>
      <c r="G47" s="778"/>
      <c r="H47" s="776" t="e">
        <f t="shared" si="2"/>
        <v>#VALUE!</v>
      </c>
    </row>
    <row r="48" spans="1:8" ht="13.5" thickBot="1">
      <c r="A48" s="775">
        <v>32</v>
      </c>
      <c r="B48" s="776" t="e">
        <f t="shared" si="3"/>
        <v>#VALUE!</v>
      </c>
      <c r="C48" s="777" t="e">
        <f t="shared" si="0"/>
        <v>#VALUE!</v>
      </c>
      <c r="D48" s="777" t="e">
        <f t="shared" si="1"/>
        <v>#VALUE!</v>
      </c>
      <c r="E48" s="776" t="e">
        <f t="shared" si="4"/>
        <v>#VALUE!</v>
      </c>
      <c r="F48" s="778"/>
      <c r="G48" s="778"/>
      <c r="H48" s="776" t="e">
        <f t="shared" si="2"/>
        <v>#VALUE!</v>
      </c>
    </row>
    <row r="49" spans="1:8" ht="13.5" thickBot="1">
      <c r="A49" s="775">
        <v>33</v>
      </c>
      <c r="B49" s="776" t="e">
        <f t="shared" si="3"/>
        <v>#VALUE!</v>
      </c>
      <c r="C49" s="777" t="e">
        <f t="shared" si="0"/>
        <v>#VALUE!</v>
      </c>
      <c r="D49" s="777" t="e">
        <f t="shared" si="1"/>
        <v>#VALUE!</v>
      </c>
      <c r="E49" s="776" t="e">
        <f t="shared" si="4"/>
        <v>#VALUE!</v>
      </c>
      <c r="F49" s="778"/>
      <c r="G49" s="778"/>
      <c r="H49" s="776" t="e">
        <f t="shared" si="2"/>
        <v>#VALUE!</v>
      </c>
    </row>
    <row r="50" spans="1:8" ht="13.5" thickBot="1">
      <c r="A50" s="775">
        <v>34</v>
      </c>
      <c r="B50" s="776" t="e">
        <f t="shared" si="3"/>
        <v>#VALUE!</v>
      </c>
      <c r="C50" s="777" t="e">
        <f t="shared" si="0"/>
        <v>#VALUE!</v>
      </c>
      <c r="D50" s="777" t="e">
        <f t="shared" si="1"/>
        <v>#VALUE!</v>
      </c>
      <c r="E50" s="776" t="e">
        <f t="shared" si="4"/>
        <v>#VALUE!</v>
      </c>
      <c r="F50" s="778"/>
      <c r="G50" s="778"/>
      <c r="H50" s="776" t="e">
        <f t="shared" si="2"/>
        <v>#VALUE!</v>
      </c>
    </row>
    <row r="51" spans="1:8" ht="13.5" thickBot="1">
      <c r="A51" s="775">
        <v>35</v>
      </c>
      <c r="B51" s="776" t="e">
        <f t="shared" si="3"/>
        <v>#VALUE!</v>
      </c>
      <c r="C51" s="777" t="e">
        <f t="shared" si="0"/>
        <v>#VALUE!</v>
      </c>
      <c r="D51" s="777" t="e">
        <f t="shared" si="1"/>
        <v>#VALUE!</v>
      </c>
      <c r="E51" s="776" t="e">
        <f t="shared" si="4"/>
        <v>#VALUE!</v>
      </c>
      <c r="F51" s="778"/>
      <c r="G51" s="778"/>
      <c r="H51" s="776" t="e">
        <f t="shared" si="2"/>
        <v>#VALUE!</v>
      </c>
    </row>
    <row r="52" spans="1:8" ht="13.5" thickBot="1">
      <c r="A52" s="775">
        <v>36</v>
      </c>
      <c r="B52" s="776" t="e">
        <f t="shared" si="3"/>
        <v>#VALUE!</v>
      </c>
      <c r="C52" s="777" t="e">
        <f t="shared" si="0"/>
        <v>#VALUE!</v>
      </c>
      <c r="D52" s="777" t="e">
        <f t="shared" si="1"/>
        <v>#VALUE!</v>
      </c>
      <c r="E52" s="776" t="e">
        <f t="shared" si="4"/>
        <v>#VALUE!</v>
      </c>
      <c r="F52" s="778"/>
      <c r="G52" s="778"/>
      <c r="H52" s="776" t="e">
        <f t="shared" si="2"/>
        <v>#VALUE!</v>
      </c>
    </row>
    <row r="53" spans="1:8" ht="13.5" thickBot="1">
      <c r="A53" s="775">
        <v>37</v>
      </c>
      <c r="B53" s="776" t="e">
        <f t="shared" si="3"/>
        <v>#VALUE!</v>
      </c>
      <c r="C53" s="777" t="e">
        <f t="shared" si="0"/>
        <v>#VALUE!</v>
      </c>
      <c r="D53" s="777" t="e">
        <f t="shared" si="1"/>
        <v>#VALUE!</v>
      </c>
      <c r="E53" s="776" t="e">
        <f t="shared" si="4"/>
        <v>#VALUE!</v>
      </c>
      <c r="F53" s="778"/>
      <c r="G53" s="778"/>
      <c r="H53" s="776" t="e">
        <f t="shared" si="2"/>
        <v>#VALUE!</v>
      </c>
    </row>
    <row r="54" spans="1:8" ht="13.5" thickBot="1">
      <c r="A54" s="775">
        <v>38</v>
      </c>
      <c r="B54" s="776" t="e">
        <f t="shared" si="3"/>
        <v>#VALUE!</v>
      </c>
      <c r="C54" s="777" t="e">
        <f t="shared" si="0"/>
        <v>#VALUE!</v>
      </c>
      <c r="D54" s="777" t="e">
        <f t="shared" si="1"/>
        <v>#VALUE!</v>
      </c>
      <c r="E54" s="776" t="e">
        <f t="shared" si="4"/>
        <v>#VALUE!</v>
      </c>
      <c r="F54" s="778"/>
      <c r="G54" s="778"/>
      <c r="H54" s="776" t="e">
        <f t="shared" si="2"/>
        <v>#VALUE!</v>
      </c>
    </row>
    <row r="55" spans="1:8" ht="13.5" thickBot="1">
      <c r="A55" s="775">
        <v>39</v>
      </c>
      <c r="B55" s="776" t="e">
        <f t="shared" si="3"/>
        <v>#VALUE!</v>
      </c>
      <c r="C55" s="777" t="e">
        <f t="shared" si="0"/>
        <v>#VALUE!</v>
      </c>
      <c r="D55" s="777" t="e">
        <f t="shared" si="1"/>
        <v>#VALUE!</v>
      </c>
      <c r="E55" s="776" t="e">
        <f t="shared" si="4"/>
        <v>#VALUE!</v>
      </c>
      <c r="F55" s="778"/>
      <c r="G55" s="778"/>
      <c r="H55" s="776" t="e">
        <f t="shared" si="2"/>
        <v>#VALUE!</v>
      </c>
    </row>
    <row r="56" spans="1:8" ht="13.5" thickBot="1">
      <c r="A56" s="775">
        <v>40</v>
      </c>
      <c r="B56" s="776" t="e">
        <f t="shared" si="3"/>
        <v>#VALUE!</v>
      </c>
      <c r="C56" s="777" t="e">
        <f t="shared" si="0"/>
        <v>#VALUE!</v>
      </c>
      <c r="D56" s="777" t="e">
        <f t="shared" si="1"/>
        <v>#VALUE!</v>
      </c>
      <c r="E56" s="776" t="e">
        <f t="shared" si="4"/>
        <v>#VALUE!</v>
      </c>
      <c r="F56" s="778"/>
      <c r="G56" s="778"/>
      <c r="H56" s="776" t="e">
        <f t="shared" si="2"/>
        <v>#VALUE!</v>
      </c>
    </row>
    <row r="57" spans="1:8" ht="13.5" thickBot="1">
      <c r="A57" s="775">
        <v>41</v>
      </c>
      <c r="B57" s="776" t="e">
        <f t="shared" si="3"/>
        <v>#VALUE!</v>
      </c>
      <c r="C57" s="777" t="e">
        <f t="shared" si="0"/>
        <v>#VALUE!</v>
      </c>
      <c r="D57" s="777" t="e">
        <f t="shared" si="1"/>
        <v>#VALUE!</v>
      </c>
      <c r="E57" s="776" t="e">
        <f t="shared" si="4"/>
        <v>#VALUE!</v>
      </c>
      <c r="F57" s="778"/>
      <c r="G57" s="778"/>
      <c r="H57" s="776" t="e">
        <f t="shared" si="2"/>
        <v>#VALUE!</v>
      </c>
    </row>
    <row r="58" spans="1:8" ht="13.5" thickBot="1">
      <c r="A58" s="775">
        <v>42</v>
      </c>
      <c r="B58" s="776" t="e">
        <f t="shared" si="3"/>
        <v>#VALUE!</v>
      </c>
      <c r="C58" s="777" t="e">
        <f t="shared" si="0"/>
        <v>#VALUE!</v>
      </c>
      <c r="D58" s="777" t="e">
        <f t="shared" si="1"/>
        <v>#VALUE!</v>
      </c>
      <c r="E58" s="776" t="e">
        <f t="shared" si="4"/>
        <v>#VALUE!</v>
      </c>
      <c r="F58" s="778"/>
      <c r="G58" s="778"/>
      <c r="H58" s="776" t="e">
        <f t="shared" si="2"/>
        <v>#VALUE!</v>
      </c>
    </row>
    <row r="59" spans="1:8" ht="13.5" thickBot="1">
      <c r="A59" s="775">
        <v>43</v>
      </c>
      <c r="B59" s="776" t="e">
        <f t="shared" si="3"/>
        <v>#VALUE!</v>
      </c>
      <c r="C59" s="777" t="e">
        <f t="shared" si="0"/>
        <v>#VALUE!</v>
      </c>
      <c r="D59" s="777" t="e">
        <f t="shared" si="1"/>
        <v>#VALUE!</v>
      </c>
      <c r="E59" s="776" t="e">
        <f t="shared" si="4"/>
        <v>#VALUE!</v>
      </c>
      <c r="F59" s="778"/>
      <c r="G59" s="778"/>
      <c r="H59" s="776" t="e">
        <f t="shared" si="2"/>
        <v>#VALUE!</v>
      </c>
    </row>
    <row r="60" spans="1:8" ht="13.5" thickBot="1">
      <c r="A60" s="775">
        <v>44</v>
      </c>
      <c r="B60" s="776" t="e">
        <f t="shared" si="3"/>
        <v>#VALUE!</v>
      </c>
      <c r="C60" s="777" t="e">
        <f t="shared" si="0"/>
        <v>#VALUE!</v>
      </c>
      <c r="D60" s="777" t="e">
        <f t="shared" si="1"/>
        <v>#VALUE!</v>
      </c>
      <c r="E60" s="776" t="e">
        <f t="shared" si="4"/>
        <v>#VALUE!</v>
      </c>
      <c r="F60" s="778"/>
      <c r="G60" s="778"/>
      <c r="H60" s="776" t="e">
        <f t="shared" si="2"/>
        <v>#VALUE!</v>
      </c>
    </row>
    <row r="61" spans="1:8" ht="13.5" thickBot="1">
      <c r="A61" s="775">
        <v>45</v>
      </c>
      <c r="B61" s="776" t="e">
        <f t="shared" si="3"/>
        <v>#VALUE!</v>
      </c>
      <c r="C61" s="777" t="e">
        <f t="shared" si="0"/>
        <v>#VALUE!</v>
      </c>
      <c r="D61" s="777" t="e">
        <f t="shared" si="1"/>
        <v>#VALUE!</v>
      </c>
      <c r="E61" s="776" t="e">
        <f t="shared" si="4"/>
        <v>#VALUE!</v>
      </c>
      <c r="F61" s="778"/>
      <c r="G61" s="778"/>
      <c r="H61" s="776" t="e">
        <f t="shared" si="2"/>
        <v>#VALUE!</v>
      </c>
    </row>
    <row r="62" spans="1:8" ht="13.5" thickBot="1">
      <c r="A62" s="775">
        <v>46</v>
      </c>
      <c r="B62" s="776" t="e">
        <f t="shared" si="3"/>
        <v>#VALUE!</v>
      </c>
      <c r="C62" s="777" t="e">
        <f t="shared" si="0"/>
        <v>#VALUE!</v>
      </c>
      <c r="D62" s="777" t="e">
        <f t="shared" si="1"/>
        <v>#VALUE!</v>
      </c>
      <c r="E62" s="776" t="e">
        <f t="shared" si="4"/>
        <v>#VALUE!</v>
      </c>
      <c r="F62" s="778"/>
      <c r="G62" s="778"/>
      <c r="H62" s="776" t="e">
        <f t="shared" si="2"/>
        <v>#VALUE!</v>
      </c>
    </row>
    <row r="63" spans="1:8" ht="13.5" thickBot="1">
      <c r="A63" s="775">
        <v>47</v>
      </c>
      <c r="B63" s="776" t="e">
        <f t="shared" si="3"/>
        <v>#VALUE!</v>
      </c>
      <c r="C63" s="777" t="e">
        <f t="shared" si="0"/>
        <v>#VALUE!</v>
      </c>
      <c r="D63" s="777" t="e">
        <f t="shared" si="1"/>
        <v>#VALUE!</v>
      </c>
      <c r="E63" s="776" t="e">
        <f t="shared" si="4"/>
        <v>#VALUE!</v>
      </c>
      <c r="F63" s="778"/>
      <c r="G63" s="778"/>
      <c r="H63" s="776" t="e">
        <f t="shared" si="2"/>
        <v>#VALUE!</v>
      </c>
    </row>
    <row r="64" spans="1:8" ht="13.5" thickBot="1">
      <c r="A64" s="775">
        <v>48</v>
      </c>
      <c r="B64" s="776" t="e">
        <f t="shared" si="3"/>
        <v>#VALUE!</v>
      </c>
      <c r="C64" s="777" t="e">
        <f t="shared" si="0"/>
        <v>#VALUE!</v>
      </c>
      <c r="D64" s="777" t="e">
        <f t="shared" si="1"/>
        <v>#VALUE!</v>
      </c>
      <c r="E64" s="776" t="e">
        <f t="shared" si="4"/>
        <v>#VALUE!</v>
      </c>
      <c r="F64" s="778"/>
      <c r="G64" s="778"/>
      <c r="H64" s="776" t="e">
        <f t="shared" si="2"/>
        <v>#VALUE!</v>
      </c>
    </row>
    <row r="65" spans="1:8" ht="13.5" thickBot="1">
      <c r="A65" s="775">
        <v>49</v>
      </c>
      <c r="B65" s="776" t="e">
        <f t="shared" si="3"/>
        <v>#VALUE!</v>
      </c>
      <c r="C65" s="777" t="e">
        <f t="shared" si="0"/>
        <v>#VALUE!</v>
      </c>
      <c r="D65" s="777" t="e">
        <f t="shared" si="1"/>
        <v>#VALUE!</v>
      </c>
      <c r="E65" s="776" t="e">
        <f t="shared" si="4"/>
        <v>#VALUE!</v>
      </c>
      <c r="F65" s="778"/>
      <c r="G65" s="778"/>
      <c r="H65" s="776" t="e">
        <f t="shared" si="2"/>
        <v>#VALUE!</v>
      </c>
    </row>
    <row r="66" spans="1:8" ht="13.5" thickBot="1">
      <c r="A66" s="775">
        <v>50</v>
      </c>
      <c r="B66" s="776" t="e">
        <f t="shared" si="3"/>
        <v>#VALUE!</v>
      </c>
      <c r="C66" s="777" t="e">
        <f t="shared" si="0"/>
        <v>#VALUE!</v>
      </c>
      <c r="D66" s="777" t="e">
        <f t="shared" si="1"/>
        <v>#VALUE!</v>
      </c>
      <c r="E66" s="776" t="e">
        <f t="shared" si="4"/>
        <v>#VALUE!</v>
      </c>
      <c r="F66" s="778"/>
      <c r="G66" s="778"/>
      <c r="H66" s="776" t="e">
        <f t="shared" si="2"/>
        <v>#VALUE!</v>
      </c>
    </row>
    <row r="67" spans="1:8" ht="13.5" thickBot="1">
      <c r="A67" s="775">
        <v>51</v>
      </c>
      <c r="B67" s="776" t="e">
        <f t="shared" si="3"/>
        <v>#VALUE!</v>
      </c>
      <c r="C67" s="777" t="e">
        <f t="shared" si="0"/>
        <v>#VALUE!</v>
      </c>
      <c r="D67" s="777" t="e">
        <f t="shared" si="1"/>
        <v>#VALUE!</v>
      </c>
      <c r="E67" s="776" t="e">
        <f t="shared" si="4"/>
        <v>#VALUE!</v>
      </c>
      <c r="F67" s="778"/>
      <c r="G67" s="778"/>
      <c r="H67" s="776" t="e">
        <f t="shared" si="2"/>
        <v>#VALUE!</v>
      </c>
    </row>
    <row r="68" spans="1:8" ht="13.5" thickBot="1">
      <c r="A68" s="775">
        <v>52</v>
      </c>
      <c r="B68" s="776" t="e">
        <f t="shared" si="3"/>
        <v>#VALUE!</v>
      </c>
      <c r="C68" s="777" t="e">
        <f t="shared" si="0"/>
        <v>#VALUE!</v>
      </c>
      <c r="D68" s="777" t="e">
        <f t="shared" si="1"/>
        <v>#VALUE!</v>
      </c>
      <c r="E68" s="776" t="e">
        <f t="shared" si="4"/>
        <v>#VALUE!</v>
      </c>
      <c r="F68" s="778"/>
      <c r="G68" s="778"/>
      <c r="H68" s="776" t="e">
        <f t="shared" si="2"/>
        <v>#VALUE!</v>
      </c>
    </row>
    <row r="69" spans="1:8" ht="13.5" thickBot="1">
      <c r="A69" s="775">
        <v>53</v>
      </c>
      <c r="B69" s="776" t="e">
        <f t="shared" si="3"/>
        <v>#VALUE!</v>
      </c>
      <c r="C69" s="777" t="e">
        <f t="shared" si="0"/>
        <v>#VALUE!</v>
      </c>
      <c r="D69" s="777" t="e">
        <f t="shared" si="1"/>
        <v>#VALUE!</v>
      </c>
      <c r="E69" s="776" t="e">
        <f t="shared" si="4"/>
        <v>#VALUE!</v>
      </c>
      <c r="F69" s="778"/>
      <c r="G69" s="778"/>
      <c r="H69" s="776" t="e">
        <f t="shared" si="2"/>
        <v>#VALUE!</v>
      </c>
    </row>
    <row r="70" spans="1:8" ht="13.5" thickBot="1">
      <c r="A70" s="775">
        <v>54</v>
      </c>
      <c r="B70" s="776" t="e">
        <f t="shared" si="3"/>
        <v>#VALUE!</v>
      </c>
      <c r="C70" s="777" t="e">
        <f t="shared" si="0"/>
        <v>#VALUE!</v>
      </c>
      <c r="D70" s="777" t="e">
        <f t="shared" si="1"/>
        <v>#VALUE!</v>
      </c>
      <c r="E70" s="776" t="e">
        <f t="shared" si="4"/>
        <v>#VALUE!</v>
      </c>
      <c r="F70" s="778"/>
      <c r="G70" s="778"/>
      <c r="H70" s="776" t="e">
        <f t="shared" si="2"/>
        <v>#VALUE!</v>
      </c>
    </row>
    <row r="71" spans="1:8" ht="13.5" thickBot="1">
      <c r="A71" s="775">
        <v>55</v>
      </c>
      <c r="B71" s="776" t="e">
        <f t="shared" si="3"/>
        <v>#VALUE!</v>
      </c>
      <c r="C71" s="777" t="e">
        <f t="shared" si="0"/>
        <v>#VALUE!</v>
      </c>
      <c r="D71" s="777" t="e">
        <f t="shared" si="1"/>
        <v>#VALUE!</v>
      </c>
      <c r="E71" s="776" t="e">
        <f t="shared" si="4"/>
        <v>#VALUE!</v>
      </c>
      <c r="F71" s="778"/>
      <c r="G71" s="778"/>
      <c r="H71" s="776" t="e">
        <f t="shared" si="2"/>
        <v>#VALUE!</v>
      </c>
    </row>
    <row r="72" spans="1:8" ht="13.5" thickBot="1">
      <c r="A72" s="775">
        <v>56</v>
      </c>
      <c r="B72" s="776" t="e">
        <f t="shared" si="3"/>
        <v>#VALUE!</v>
      </c>
      <c r="C72" s="777" t="e">
        <f t="shared" si="0"/>
        <v>#VALUE!</v>
      </c>
      <c r="D72" s="777" t="e">
        <f t="shared" si="1"/>
        <v>#VALUE!</v>
      </c>
      <c r="E72" s="776" t="e">
        <f t="shared" si="4"/>
        <v>#VALUE!</v>
      </c>
      <c r="F72" s="778"/>
      <c r="G72" s="778"/>
      <c r="H72" s="776" t="e">
        <f t="shared" si="2"/>
        <v>#VALUE!</v>
      </c>
    </row>
    <row r="73" spans="1:8" ht="13.5" thickBot="1">
      <c r="A73" s="775">
        <v>57</v>
      </c>
      <c r="B73" s="776" t="e">
        <f t="shared" si="3"/>
        <v>#VALUE!</v>
      </c>
      <c r="C73" s="777" t="e">
        <f t="shared" si="0"/>
        <v>#VALUE!</v>
      </c>
      <c r="D73" s="777" t="e">
        <f t="shared" si="1"/>
        <v>#VALUE!</v>
      </c>
      <c r="E73" s="776" t="e">
        <f t="shared" si="4"/>
        <v>#VALUE!</v>
      </c>
      <c r="F73" s="778"/>
      <c r="G73" s="778"/>
      <c r="H73" s="776" t="e">
        <f t="shared" si="2"/>
        <v>#VALUE!</v>
      </c>
    </row>
    <row r="74" spans="1:8" ht="13.5" thickBot="1">
      <c r="A74" s="775">
        <v>58</v>
      </c>
      <c r="B74" s="776" t="e">
        <f t="shared" si="3"/>
        <v>#VALUE!</v>
      </c>
      <c r="C74" s="777" t="e">
        <f t="shared" si="0"/>
        <v>#VALUE!</v>
      </c>
      <c r="D74" s="777" t="e">
        <f t="shared" si="1"/>
        <v>#VALUE!</v>
      </c>
      <c r="E74" s="776" t="e">
        <f t="shared" si="4"/>
        <v>#VALUE!</v>
      </c>
      <c r="F74" s="778"/>
      <c r="G74" s="778"/>
      <c r="H74" s="776" t="e">
        <f t="shared" si="2"/>
        <v>#VALUE!</v>
      </c>
    </row>
    <row r="75" spans="1:8" ht="13.5" thickBot="1">
      <c r="A75" s="775">
        <v>59</v>
      </c>
      <c r="B75" s="776" t="e">
        <f t="shared" si="3"/>
        <v>#VALUE!</v>
      </c>
      <c r="C75" s="777" t="e">
        <f t="shared" si="0"/>
        <v>#VALUE!</v>
      </c>
      <c r="D75" s="777" t="e">
        <f t="shared" si="1"/>
        <v>#VALUE!</v>
      </c>
      <c r="E75" s="776" t="e">
        <f t="shared" si="4"/>
        <v>#VALUE!</v>
      </c>
      <c r="F75" s="778"/>
      <c r="G75" s="778"/>
      <c r="H75" s="776" t="e">
        <f t="shared" si="2"/>
        <v>#VALUE!</v>
      </c>
    </row>
    <row r="76" spans="1:8" ht="13.5" thickBot="1">
      <c r="A76" s="775">
        <v>60</v>
      </c>
      <c r="B76" s="776" t="e">
        <f t="shared" si="3"/>
        <v>#VALUE!</v>
      </c>
      <c r="C76" s="777" t="e">
        <f t="shared" si="0"/>
        <v>#VALUE!</v>
      </c>
      <c r="D76" s="777" t="e">
        <f t="shared" si="1"/>
        <v>#VALUE!</v>
      </c>
      <c r="E76" s="776" t="e">
        <f t="shared" si="4"/>
        <v>#VALUE!</v>
      </c>
      <c r="F76" s="778"/>
      <c r="G76" s="778"/>
      <c r="H76" s="776" t="e">
        <f t="shared" si="2"/>
        <v>#VALUE!</v>
      </c>
    </row>
    <row r="77" spans="1:8" ht="13.5" thickBot="1">
      <c r="A77" s="775">
        <v>61</v>
      </c>
      <c r="B77" s="776" t="e">
        <f t="shared" si="3"/>
        <v>#VALUE!</v>
      </c>
      <c r="C77" s="777" t="e">
        <f t="shared" si="0"/>
        <v>#VALUE!</v>
      </c>
      <c r="D77" s="777" t="e">
        <f t="shared" si="1"/>
        <v>#VALUE!</v>
      </c>
      <c r="E77" s="776" t="e">
        <f t="shared" si="4"/>
        <v>#VALUE!</v>
      </c>
      <c r="F77" s="778"/>
      <c r="G77" s="778"/>
      <c r="H77" s="776" t="e">
        <f t="shared" si="2"/>
        <v>#VALUE!</v>
      </c>
    </row>
    <row r="78" spans="1:8" ht="13.5" thickBot="1">
      <c r="A78" s="775">
        <v>62</v>
      </c>
      <c r="B78" s="776" t="e">
        <f t="shared" si="3"/>
        <v>#VALUE!</v>
      </c>
      <c r="C78" s="777" t="e">
        <f t="shared" si="0"/>
        <v>#VALUE!</v>
      </c>
      <c r="D78" s="777" t="e">
        <f t="shared" si="1"/>
        <v>#VALUE!</v>
      </c>
      <c r="E78" s="776" t="e">
        <f t="shared" si="4"/>
        <v>#VALUE!</v>
      </c>
      <c r="F78" s="778"/>
      <c r="G78" s="778"/>
      <c r="H78" s="776" t="e">
        <f t="shared" si="2"/>
        <v>#VALUE!</v>
      </c>
    </row>
    <row r="79" spans="1:8" ht="13.5" thickBot="1">
      <c r="A79" s="775">
        <v>63</v>
      </c>
      <c r="B79" s="776" t="e">
        <f t="shared" si="3"/>
        <v>#VALUE!</v>
      </c>
      <c r="C79" s="777" t="e">
        <f t="shared" si="0"/>
        <v>#VALUE!</v>
      </c>
      <c r="D79" s="777" t="e">
        <f t="shared" si="1"/>
        <v>#VALUE!</v>
      </c>
      <c r="E79" s="776" t="e">
        <f t="shared" si="4"/>
        <v>#VALUE!</v>
      </c>
      <c r="F79" s="778"/>
      <c r="G79" s="778"/>
      <c r="H79" s="776" t="e">
        <f t="shared" si="2"/>
        <v>#VALUE!</v>
      </c>
    </row>
    <row r="80" spans="1:8" ht="13.5" thickBot="1">
      <c r="A80" s="775">
        <v>64</v>
      </c>
      <c r="B80" s="776" t="e">
        <f t="shared" si="3"/>
        <v>#VALUE!</v>
      </c>
      <c r="C80" s="777" t="e">
        <f t="shared" si="0"/>
        <v>#VALUE!</v>
      </c>
      <c r="D80" s="777" t="e">
        <f t="shared" si="1"/>
        <v>#VALUE!</v>
      </c>
      <c r="E80" s="776" t="e">
        <f t="shared" si="4"/>
        <v>#VALUE!</v>
      </c>
      <c r="F80" s="778"/>
      <c r="G80" s="778"/>
      <c r="H80" s="776" t="e">
        <f t="shared" si="2"/>
        <v>#VALUE!</v>
      </c>
    </row>
    <row r="81" spans="1:8" ht="13.5" thickBot="1">
      <c r="A81" s="775">
        <v>65</v>
      </c>
      <c r="B81" s="776" t="e">
        <f t="shared" si="3"/>
        <v>#VALUE!</v>
      </c>
      <c r="C81" s="777" t="e">
        <f t="shared" si="0"/>
        <v>#VALUE!</v>
      </c>
      <c r="D81" s="777" t="e">
        <f t="shared" si="1"/>
        <v>#VALUE!</v>
      </c>
      <c r="E81" s="776" t="e">
        <f t="shared" si="4"/>
        <v>#VALUE!</v>
      </c>
      <c r="F81" s="778"/>
      <c r="G81" s="778"/>
      <c r="H81" s="776" t="e">
        <f t="shared" si="2"/>
        <v>#VALUE!</v>
      </c>
    </row>
    <row r="82" spans="1:8" ht="13.5" thickBot="1">
      <c r="A82" s="775">
        <v>66</v>
      </c>
      <c r="B82" s="776" t="e">
        <f t="shared" si="3"/>
        <v>#VALUE!</v>
      </c>
      <c r="C82" s="777" t="e">
        <f t="shared" ref="C82:C145" si="5">$B$14</f>
        <v>#VALUE!</v>
      </c>
      <c r="D82" s="777" t="e">
        <f t="shared" ref="D82:D145" si="6">$C82-$E82</f>
        <v>#VALUE!</v>
      </c>
      <c r="E82" s="776" t="e">
        <f t="shared" si="4"/>
        <v>#VALUE!</v>
      </c>
      <c r="F82" s="778"/>
      <c r="G82" s="778"/>
      <c r="H82" s="776" t="e">
        <f t="shared" ref="H82:H145" si="7">$B82-$D82</f>
        <v>#VALUE!</v>
      </c>
    </row>
    <row r="83" spans="1:8" ht="13.5" thickBot="1">
      <c r="A83" s="775">
        <v>67</v>
      </c>
      <c r="B83" s="776" t="e">
        <f t="shared" ref="B83:B146" si="8">H82</f>
        <v>#VALUE!</v>
      </c>
      <c r="C83" s="777" t="e">
        <f t="shared" si="5"/>
        <v>#VALUE!</v>
      </c>
      <c r="D83" s="777" t="e">
        <f t="shared" si="6"/>
        <v>#VALUE!</v>
      </c>
      <c r="E83" s="776" t="e">
        <f t="shared" si="4"/>
        <v>#VALUE!</v>
      </c>
      <c r="F83" s="778"/>
      <c r="G83" s="778"/>
      <c r="H83" s="776" t="e">
        <f t="shared" si="7"/>
        <v>#VALUE!</v>
      </c>
    </row>
    <row r="84" spans="1:8" ht="13.5" thickBot="1">
      <c r="A84" s="775">
        <v>68</v>
      </c>
      <c r="B84" s="776" t="e">
        <f t="shared" si="8"/>
        <v>#VALUE!</v>
      </c>
      <c r="C84" s="777" t="e">
        <f t="shared" si="5"/>
        <v>#VALUE!</v>
      </c>
      <c r="D84" s="777" t="e">
        <f t="shared" si="6"/>
        <v>#VALUE!</v>
      </c>
      <c r="E84" s="776" t="e">
        <f t="shared" si="4"/>
        <v>#VALUE!</v>
      </c>
      <c r="F84" s="778"/>
      <c r="G84" s="778"/>
      <c r="H84" s="776" t="e">
        <f t="shared" si="7"/>
        <v>#VALUE!</v>
      </c>
    </row>
    <row r="85" spans="1:8" ht="13.5" thickBot="1">
      <c r="A85" s="775">
        <v>69</v>
      </c>
      <c r="B85" s="776" t="e">
        <f t="shared" si="8"/>
        <v>#VALUE!</v>
      </c>
      <c r="C85" s="777" t="e">
        <f t="shared" si="5"/>
        <v>#VALUE!</v>
      </c>
      <c r="D85" s="777" t="e">
        <f t="shared" si="6"/>
        <v>#VALUE!</v>
      </c>
      <c r="E85" s="776" t="e">
        <f t="shared" si="4"/>
        <v>#VALUE!</v>
      </c>
      <c r="F85" s="778"/>
      <c r="G85" s="778"/>
      <c r="H85" s="776" t="e">
        <f t="shared" si="7"/>
        <v>#VALUE!</v>
      </c>
    </row>
    <row r="86" spans="1:8" ht="13.5" thickBot="1">
      <c r="A86" s="775">
        <v>70</v>
      </c>
      <c r="B86" s="776" t="e">
        <f t="shared" si="8"/>
        <v>#VALUE!</v>
      </c>
      <c r="C86" s="777" t="e">
        <f t="shared" si="5"/>
        <v>#VALUE!</v>
      </c>
      <c r="D86" s="777" t="e">
        <f t="shared" si="6"/>
        <v>#VALUE!</v>
      </c>
      <c r="E86" s="776" t="e">
        <f t="shared" ref="E86:E149" si="9">IF($B86*$B$5&gt;0,$B86*$B$5,0)</f>
        <v>#VALUE!</v>
      </c>
      <c r="F86" s="778"/>
      <c r="G86" s="778"/>
      <c r="H86" s="776" t="e">
        <f t="shared" si="7"/>
        <v>#VALUE!</v>
      </c>
    </row>
    <row r="87" spans="1:8" ht="13.5" thickBot="1">
      <c r="A87" s="775">
        <v>71</v>
      </c>
      <c r="B87" s="776" t="e">
        <f t="shared" si="8"/>
        <v>#VALUE!</v>
      </c>
      <c r="C87" s="777" t="e">
        <f t="shared" si="5"/>
        <v>#VALUE!</v>
      </c>
      <c r="D87" s="777" t="e">
        <f t="shared" si="6"/>
        <v>#VALUE!</v>
      </c>
      <c r="E87" s="776" t="e">
        <f t="shared" si="9"/>
        <v>#VALUE!</v>
      </c>
      <c r="F87" s="778"/>
      <c r="G87" s="778"/>
      <c r="H87" s="776" t="e">
        <f t="shared" si="7"/>
        <v>#VALUE!</v>
      </c>
    </row>
    <row r="88" spans="1:8" ht="13.5" thickBot="1">
      <c r="A88" s="775">
        <v>72</v>
      </c>
      <c r="B88" s="776" t="e">
        <f t="shared" si="8"/>
        <v>#VALUE!</v>
      </c>
      <c r="C88" s="777" t="e">
        <f t="shared" si="5"/>
        <v>#VALUE!</v>
      </c>
      <c r="D88" s="777" t="e">
        <f t="shared" si="6"/>
        <v>#VALUE!</v>
      </c>
      <c r="E88" s="776" t="e">
        <f t="shared" si="9"/>
        <v>#VALUE!</v>
      </c>
      <c r="F88" s="778"/>
      <c r="G88" s="778"/>
      <c r="H88" s="776" t="e">
        <f t="shared" si="7"/>
        <v>#VALUE!</v>
      </c>
    </row>
    <row r="89" spans="1:8" ht="13.5" thickBot="1">
      <c r="A89" s="775">
        <v>73</v>
      </c>
      <c r="B89" s="776" t="e">
        <f t="shared" si="8"/>
        <v>#VALUE!</v>
      </c>
      <c r="C89" s="777" t="e">
        <f t="shared" si="5"/>
        <v>#VALUE!</v>
      </c>
      <c r="D89" s="777" t="e">
        <f t="shared" si="6"/>
        <v>#VALUE!</v>
      </c>
      <c r="E89" s="776" t="e">
        <f t="shared" si="9"/>
        <v>#VALUE!</v>
      </c>
      <c r="F89" s="778"/>
      <c r="G89" s="778"/>
      <c r="H89" s="776" t="e">
        <f t="shared" si="7"/>
        <v>#VALUE!</v>
      </c>
    </row>
    <row r="90" spans="1:8" ht="13.5" thickBot="1">
      <c r="A90" s="775">
        <v>74</v>
      </c>
      <c r="B90" s="776" t="e">
        <f t="shared" si="8"/>
        <v>#VALUE!</v>
      </c>
      <c r="C90" s="777" t="e">
        <f t="shared" si="5"/>
        <v>#VALUE!</v>
      </c>
      <c r="D90" s="777" t="e">
        <f t="shared" si="6"/>
        <v>#VALUE!</v>
      </c>
      <c r="E90" s="776" t="e">
        <f t="shared" si="9"/>
        <v>#VALUE!</v>
      </c>
      <c r="F90" s="778"/>
      <c r="G90" s="778"/>
      <c r="H90" s="776" t="e">
        <f t="shared" si="7"/>
        <v>#VALUE!</v>
      </c>
    </row>
    <row r="91" spans="1:8" ht="13.5" thickBot="1">
      <c r="A91" s="775">
        <v>75</v>
      </c>
      <c r="B91" s="776" t="e">
        <f t="shared" si="8"/>
        <v>#VALUE!</v>
      </c>
      <c r="C91" s="777" t="e">
        <f t="shared" si="5"/>
        <v>#VALUE!</v>
      </c>
      <c r="D91" s="777" t="e">
        <f t="shared" si="6"/>
        <v>#VALUE!</v>
      </c>
      <c r="E91" s="776" t="e">
        <f t="shared" si="9"/>
        <v>#VALUE!</v>
      </c>
      <c r="F91" s="778"/>
      <c r="G91" s="778"/>
      <c r="H91" s="776" t="e">
        <f t="shared" si="7"/>
        <v>#VALUE!</v>
      </c>
    </row>
    <row r="92" spans="1:8" ht="13.5" thickBot="1">
      <c r="A92" s="775">
        <v>76</v>
      </c>
      <c r="B92" s="776" t="e">
        <f t="shared" si="8"/>
        <v>#VALUE!</v>
      </c>
      <c r="C92" s="777" t="e">
        <f t="shared" si="5"/>
        <v>#VALUE!</v>
      </c>
      <c r="D92" s="777" t="e">
        <f t="shared" si="6"/>
        <v>#VALUE!</v>
      </c>
      <c r="E92" s="776" t="e">
        <f t="shared" si="9"/>
        <v>#VALUE!</v>
      </c>
      <c r="F92" s="778"/>
      <c r="G92" s="778"/>
      <c r="H92" s="776" t="e">
        <f t="shared" si="7"/>
        <v>#VALUE!</v>
      </c>
    </row>
    <row r="93" spans="1:8" ht="13.5" thickBot="1">
      <c r="A93" s="775">
        <v>77</v>
      </c>
      <c r="B93" s="776" t="e">
        <f t="shared" si="8"/>
        <v>#VALUE!</v>
      </c>
      <c r="C93" s="777" t="e">
        <f t="shared" si="5"/>
        <v>#VALUE!</v>
      </c>
      <c r="D93" s="777" t="e">
        <f t="shared" si="6"/>
        <v>#VALUE!</v>
      </c>
      <c r="E93" s="776" t="e">
        <f t="shared" si="9"/>
        <v>#VALUE!</v>
      </c>
      <c r="F93" s="778"/>
      <c r="G93" s="778"/>
      <c r="H93" s="776" t="e">
        <f t="shared" si="7"/>
        <v>#VALUE!</v>
      </c>
    </row>
    <row r="94" spans="1:8" ht="13.5" thickBot="1">
      <c r="A94" s="775">
        <v>78</v>
      </c>
      <c r="B94" s="776" t="e">
        <f t="shared" si="8"/>
        <v>#VALUE!</v>
      </c>
      <c r="C94" s="777" t="e">
        <f t="shared" si="5"/>
        <v>#VALUE!</v>
      </c>
      <c r="D94" s="777" t="e">
        <f t="shared" si="6"/>
        <v>#VALUE!</v>
      </c>
      <c r="E94" s="776" t="e">
        <f t="shared" si="9"/>
        <v>#VALUE!</v>
      </c>
      <c r="F94" s="778"/>
      <c r="G94" s="778"/>
      <c r="H94" s="776" t="e">
        <f t="shared" si="7"/>
        <v>#VALUE!</v>
      </c>
    </row>
    <row r="95" spans="1:8" ht="13.5" thickBot="1">
      <c r="A95" s="775">
        <v>79</v>
      </c>
      <c r="B95" s="776" t="e">
        <f t="shared" si="8"/>
        <v>#VALUE!</v>
      </c>
      <c r="C95" s="777" t="e">
        <f t="shared" si="5"/>
        <v>#VALUE!</v>
      </c>
      <c r="D95" s="777" t="e">
        <f t="shared" si="6"/>
        <v>#VALUE!</v>
      </c>
      <c r="E95" s="776" t="e">
        <f t="shared" si="9"/>
        <v>#VALUE!</v>
      </c>
      <c r="F95" s="778"/>
      <c r="G95" s="778"/>
      <c r="H95" s="776" t="e">
        <f t="shared" si="7"/>
        <v>#VALUE!</v>
      </c>
    </row>
    <row r="96" spans="1:8" ht="13.5" thickBot="1">
      <c r="A96" s="775">
        <v>80</v>
      </c>
      <c r="B96" s="776" t="e">
        <f t="shared" si="8"/>
        <v>#VALUE!</v>
      </c>
      <c r="C96" s="777" t="e">
        <f t="shared" si="5"/>
        <v>#VALUE!</v>
      </c>
      <c r="D96" s="777" t="e">
        <f t="shared" si="6"/>
        <v>#VALUE!</v>
      </c>
      <c r="E96" s="776" t="e">
        <f t="shared" si="9"/>
        <v>#VALUE!</v>
      </c>
      <c r="F96" s="778"/>
      <c r="G96" s="778"/>
      <c r="H96" s="776" t="e">
        <f t="shared" si="7"/>
        <v>#VALUE!</v>
      </c>
    </row>
    <row r="97" spans="1:8" ht="13.5" thickBot="1">
      <c r="A97" s="775">
        <v>81</v>
      </c>
      <c r="B97" s="776" t="e">
        <f t="shared" si="8"/>
        <v>#VALUE!</v>
      </c>
      <c r="C97" s="777" t="e">
        <f t="shared" si="5"/>
        <v>#VALUE!</v>
      </c>
      <c r="D97" s="777" t="e">
        <f t="shared" si="6"/>
        <v>#VALUE!</v>
      </c>
      <c r="E97" s="776" t="e">
        <f t="shared" si="9"/>
        <v>#VALUE!</v>
      </c>
      <c r="F97" s="778"/>
      <c r="G97" s="778"/>
      <c r="H97" s="776" t="e">
        <f t="shared" si="7"/>
        <v>#VALUE!</v>
      </c>
    </row>
    <row r="98" spans="1:8" ht="13.5" thickBot="1">
      <c r="A98" s="775">
        <v>82</v>
      </c>
      <c r="B98" s="776" t="e">
        <f t="shared" si="8"/>
        <v>#VALUE!</v>
      </c>
      <c r="C98" s="777" t="e">
        <f t="shared" si="5"/>
        <v>#VALUE!</v>
      </c>
      <c r="D98" s="777" t="e">
        <f t="shared" si="6"/>
        <v>#VALUE!</v>
      </c>
      <c r="E98" s="776" t="e">
        <f t="shared" si="9"/>
        <v>#VALUE!</v>
      </c>
      <c r="F98" s="778"/>
      <c r="G98" s="778"/>
      <c r="H98" s="776" t="e">
        <f t="shared" si="7"/>
        <v>#VALUE!</v>
      </c>
    </row>
    <row r="99" spans="1:8" ht="13.5" thickBot="1">
      <c r="A99" s="775">
        <v>83</v>
      </c>
      <c r="B99" s="776" t="e">
        <f t="shared" si="8"/>
        <v>#VALUE!</v>
      </c>
      <c r="C99" s="777" t="e">
        <f t="shared" si="5"/>
        <v>#VALUE!</v>
      </c>
      <c r="D99" s="777" t="e">
        <f t="shared" si="6"/>
        <v>#VALUE!</v>
      </c>
      <c r="E99" s="776" t="e">
        <f t="shared" si="9"/>
        <v>#VALUE!</v>
      </c>
      <c r="F99" s="778"/>
      <c r="G99" s="778"/>
      <c r="H99" s="776" t="e">
        <f t="shared" si="7"/>
        <v>#VALUE!</v>
      </c>
    </row>
    <row r="100" spans="1:8" ht="13.5" thickBot="1">
      <c r="A100" s="775">
        <v>84</v>
      </c>
      <c r="B100" s="776" t="e">
        <f t="shared" si="8"/>
        <v>#VALUE!</v>
      </c>
      <c r="C100" s="777" t="e">
        <f t="shared" si="5"/>
        <v>#VALUE!</v>
      </c>
      <c r="D100" s="777" t="e">
        <f t="shared" si="6"/>
        <v>#VALUE!</v>
      </c>
      <c r="E100" s="776" t="e">
        <f t="shared" si="9"/>
        <v>#VALUE!</v>
      </c>
      <c r="F100" s="778"/>
      <c r="G100" s="778"/>
      <c r="H100" s="776" t="e">
        <f t="shared" si="7"/>
        <v>#VALUE!</v>
      </c>
    </row>
    <row r="101" spans="1:8" ht="13.5" thickBot="1">
      <c r="A101" s="775">
        <v>85</v>
      </c>
      <c r="B101" s="776" t="e">
        <f t="shared" si="8"/>
        <v>#VALUE!</v>
      </c>
      <c r="C101" s="777" t="e">
        <f t="shared" si="5"/>
        <v>#VALUE!</v>
      </c>
      <c r="D101" s="777" t="e">
        <f t="shared" si="6"/>
        <v>#VALUE!</v>
      </c>
      <c r="E101" s="776" t="e">
        <f t="shared" si="9"/>
        <v>#VALUE!</v>
      </c>
      <c r="F101" s="778"/>
      <c r="G101" s="778"/>
      <c r="H101" s="776" t="e">
        <f t="shared" si="7"/>
        <v>#VALUE!</v>
      </c>
    </row>
    <row r="102" spans="1:8" ht="13.5" thickBot="1">
      <c r="A102" s="775">
        <v>86</v>
      </c>
      <c r="B102" s="776" t="e">
        <f t="shared" si="8"/>
        <v>#VALUE!</v>
      </c>
      <c r="C102" s="777" t="e">
        <f t="shared" si="5"/>
        <v>#VALUE!</v>
      </c>
      <c r="D102" s="777" t="e">
        <f t="shared" si="6"/>
        <v>#VALUE!</v>
      </c>
      <c r="E102" s="776" t="e">
        <f t="shared" si="9"/>
        <v>#VALUE!</v>
      </c>
      <c r="F102" s="778"/>
      <c r="G102" s="778"/>
      <c r="H102" s="776" t="e">
        <f t="shared" si="7"/>
        <v>#VALUE!</v>
      </c>
    </row>
    <row r="103" spans="1:8" ht="13.5" thickBot="1">
      <c r="A103" s="775">
        <v>87</v>
      </c>
      <c r="B103" s="776" t="e">
        <f t="shared" si="8"/>
        <v>#VALUE!</v>
      </c>
      <c r="C103" s="777" t="e">
        <f t="shared" si="5"/>
        <v>#VALUE!</v>
      </c>
      <c r="D103" s="777" t="e">
        <f t="shared" si="6"/>
        <v>#VALUE!</v>
      </c>
      <c r="E103" s="776" t="e">
        <f t="shared" si="9"/>
        <v>#VALUE!</v>
      </c>
      <c r="F103" s="778"/>
      <c r="G103" s="778"/>
      <c r="H103" s="776" t="e">
        <f t="shared" si="7"/>
        <v>#VALUE!</v>
      </c>
    </row>
    <row r="104" spans="1:8" ht="13.5" thickBot="1">
      <c r="A104" s="775">
        <v>88</v>
      </c>
      <c r="B104" s="776" t="e">
        <f t="shared" si="8"/>
        <v>#VALUE!</v>
      </c>
      <c r="C104" s="777" t="e">
        <f t="shared" si="5"/>
        <v>#VALUE!</v>
      </c>
      <c r="D104" s="777" t="e">
        <f t="shared" si="6"/>
        <v>#VALUE!</v>
      </c>
      <c r="E104" s="776" t="e">
        <f t="shared" si="9"/>
        <v>#VALUE!</v>
      </c>
      <c r="F104" s="778"/>
      <c r="G104" s="778"/>
      <c r="H104" s="776" t="e">
        <f t="shared" si="7"/>
        <v>#VALUE!</v>
      </c>
    </row>
    <row r="105" spans="1:8" ht="13.5" thickBot="1">
      <c r="A105" s="775">
        <v>89</v>
      </c>
      <c r="B105" s="776" t="e">
        <f t="shared" si="8"/>
        <v>#VALUE!</v>
      </c>
      <c r="C105" s="777" t="e">
        <f t="shared" si="5"/>
        <v>#VALUE!</v>
      </c>
      <c r="D105" s="777" t="e">
        <f t="shared" si="6"/>
        <v>#VALUE!</v>
      </c>
      <c r="E105" s="776" t="e">
        <f t="shared" si="9"/>
        <v>#VALUE!</v>
      </c>
      <c r="F105" s="778"/>
      <c r="G105" s="778"/>
      <c r="H105" s="776" t="e">
        <f t="shared" si="7"/>
        <v>#VALUE!</v>
      </c>
    </row>
    <row r="106" spans="1:8" ht="13.5" thickBot="1">
      <c r="A106" s="775">
        <v>90</v>
      </c>
      <c r="B106" s="776" t="e">
        <f t="shared" si="8"/>
        <v>#VALUE!</v>
      </c>
      <c r="C106" s="777" t="e">
        <f t="shared" si="5"/>
        <v>#VALUE!</v>
      </c>
      <c r="D106" s="777" t="e">
        <f t="shared" si="6"/>
        <v>#VALUE!</v>
      </c>
      <c r="E106" s="776" t="e">
        <f t="shared" si="9"/>
        <v>#VALUE!</v>
      </c>
      <c r="F106" s="778"/>
      <c r="G106" s="778"/>
      <c r="H106" s="776" t="e">
        <f t="shared" si="7"/>
        <v>#VALUE!</v>
      </c>
    </row>
    <row r="107" spans="1:8" ht="13.5" thickBot="1">
      <c r="A107" s="775">
        <v>91</v>
      </c>
      <c r="B107" s="776" t="e">
        <f t="shared" si="8"/>
        <v>#VALUE!</v>
      </c>
      <c r="C107" s="777" t="e">
        <f t="shared" si="5"/>
        <v>#VALUE!</v>
      </c>
      <c r="D107" s="777" t="e">
        <f t="shared" si="6"/>
        <v>#VALUE!</v>
      </c>
      <c r="E107" s="776" t="e">
        <f t="shared" si="9"/>
        <v>#VALUE!</v>
      </c>
      <c r="F107" s="778"/>
      <c r="G107" s="778"/>
      <c r="H107" s="776" t="e">
        <f t="shared" si="7"/>
        <v>#VALUE!</v>
      </c>
    </row>
    <row r="108" spans="1:8" ht="13.5" thickBot="1">
      <c r="A108" s="775">
        <v>92</v>
      </c>
      <c r="B108" s="776" t="e">
        <f t="shared" si="8"/>
        <v>#VALUE!</v>
      </c>
      <c r="C108" s="777" t="e">
        <f t="shared" si="5"/>
        <v>#VALUE!</v>
      </c>
      <c r="D108" s="777" t="e">
        <f t="shared" si="6"/>
        <v>#VALUE!</v>
      </c>
      <c r="E108" s="776" t="e">
        <f t="shared" si="9"/>
        <v>#VALUE!</v>
      </c>
      <c r="F108" s="778"/>
      <c r="G108" s="778"/>
      <c r="H108" s="776" t="e">
        <f t="shared" si="7"/>
        <v>#VALUE!</v>
      </c>
    </row>
    <row r="109" spans="1:8" ht="13.5" thickBot="1">
      <c r="A109" s="775">
        <v>93</v>
      </c>
      <c r="B109" s="776" t="e">
        <f t="shared" si="8"/>
        <v>#VALUE!</v>
      </c>
      <c r="C109" s="777" t="e">
        <f t="shared" si="5"/>
        <v>#VALUE!</v>
      </c>
      <c r="D109" s="777" t="e">
        <f t="shared" si="6"/>
        <v>#VALUE!</v>
      </c>
      <c r="E109" s="776" t="e">
        <f t="shared" si="9"/>
        <v>#VALUE!</v>
      </c>
      <c r="F109" s="778"/>
      <c r="G109" s="778"/>
      <c r="H109" s="776" t="e">
        <f t="shared" si="7"/>
        <v>#VALUE!</v>
      </c>
    </row>
    <row r="110" spans="1:8" ht="13.5" thickBot="1">
      <c r="A110" s="775">
        <v>94</v>
      </c>
      <c r="B110" s="776" t="e">
        <f t="shared" si="8"/>
        <v>#VALUE!</v>
      </c>
      <c r="C110" s="777" t="e">
        <f t="shared" si="5"/>
        <v>#VALUE!</v>
      </c>
      <c r="D110" s="777" t="e">
        <f t="shared" si="6"/>
        <v>#VALUE!</v>
      </c>
      <c r="E110" s="776" t="e">
        <f t="shared" si="9"/>
        <v>#VALUE!</v>
      </c>
      <c r="F110" s="778"/>
      <c r="G110" s="778"/>
      <c r="H110" s="776" t="e">
        <f t="shared" si="7"/>
        <v>#VALUE!</v>
      </c>
    </row>
    <row r="111" spans="1:8" ht="13.5" thickBot="1">
      <c r="A111" s="775">
        <v>95</v>
      </c>
      <c r="B111" s="776" t="e">
        <f t="shared" si="8"/>
        <v>#VALUE!</v>
      </c>
      <c r="C111" s="777" t="e">
        <f t="shared" si="5"/>
        <v>#VALUE!</v>
      </c>
      <c r="D111" s="777" t="e">
        <f t="shared" si="6"/>
        <v>#VALUE!</v>
      </c>
      <c r="E111" s="776" t="e">
        <f t="shared" si="9"/>
        <v>#VALUE!</v>
      </c>
      <c r="F111" s="778"/>
      <c r="G111" s="778"/>
      <c r="H111" s="776" t="e">
        <f t="shared" si="7"/>
        <v>#VALUE!</v>
      </c>
    </row>
    <row r="112" spans="1:8" ht="13.5" thickBot="1">
      <c r="A112" s="775">
        <v>96</v>
      </c>
      <c r="B112" s="776" t="e">
        <f t="shared" si="8"/>
        <v>#VALUE!</v>
      </c>
      <c r="C112" s="777" t="e">
        <f t="shared" si="5"/>
        <v>#VALUE!</v>
      </c>
      <c r="D112" s="777" t="e">
        <f t="shared" si="6"/>
        <v>#VALUE!</v>
      </c>
      <c r="E112" s="776" t="e">
        <f t="shared" si="9"/>
        <v>#VALUE!</v>
      </c>
      <c r="F112" s="778"/>
      <c r="G112" s="778"/>
      <c r="H112" s="776" t="e">
        <f t="shared" si="7"/>
        <v>#VALUE!</v>
      </c>
    </row>
    <row r="113" spans="1:8" ht="13.5" thickBot="1">
      <c r="A113" s="775">
        <v>97</v>
      </c>
      <c r="B113" s="776" t="e">
        <f t="shared" si="8"/>
        <v>#VALUE!</v>
      </c>
      <c r="C113" s="777" t="e">
        <f t="shared" si="5"/>
        <v>#VALUE!</v>
      </c>
      <c r="D113" s="777" t="e">
        <f t="shared" si="6"/>
        <v>#VALUE!</v>
      </c>
      <c r="E113" s="776" t="e">
        <f t="shared" si="9"/>
        <v>#VALUE!</v>
      </c>
      <c r="F113" s="778"/>
      <c r="G113" s="778"/>
      <c r="H113" s="776" t="e">
        <f t="shared" si="7"/>
        <v>#VALUE!</v>
      </c>
    </row>
    <row r="114" spans="1:8" ht="13.5" thickBot="1">
      <c r="A114" s="775">
        <v>98</v>
      </c>
      <c r="B114" s="776" t="e">
        <f t="shared" si="8"/>
        <v>#VALUE!</v>
      </c>
      <c r="C114" s="777" t="e">
        <f t="shared" si="5"/>
        <v>#VALUE!</v>
      </c>
      <c r="D114" s="777" t="e">
        <f t="shared" si="6"/>
        <v>#VALUE!</v>
      </c>
      <c r="E114" s="776" t="e">
        <f t="shared" si="9"/>
        <v>#VALUE!</v>
      </c>
      <c r="F114" s="778"/>
      <c r="G114" s="778"/>
      <c r="H114" s="776" t="e">
        <f t="shared" si="7"/>
        <v>#VALUE!</v>
      </c>
    </row>
    <row r="115" spans="1:8" ht="13.5" thickBot="1">
      <c r="A115" s="775">
        <v>99</v>
      </c>
      <c r="B115" s="776" t="e">
        <f t="shared" si="8"/>
        <v>#VALUE!</v>
      </c>
      <c r="C115" s="777" t="e">
        <f t="shared" si="5"/>
        <v>#VALUE!</v>
      </c>
      <c r="D115" s="777" t="e">
        <f t="shared" si="6"/>
        <v>#VALUE!</v>
      </c>
      <c r="E115" s="776" t="e">
        <f t="shared" si="9"/>
        <v>#VALUE!</v>
      </c>
      <c r="F115" s="778"/>
      <c r="G115" s="778"/>
      <c r="H115" s="776" t="e">
        <f t="shared" si="7"/>
        <v>#VALUE!</v>
      </c>
    </row>
    <row r="116" spans="1:8" ht="13.5" thickBot="1">
      <c r="A116" s="775">
        <v>100</v>
      </c>
      <c r="B116" s="776" t="e">
        <f t="shared" si="8"/>
        <v>#VALUE!</v>
      </c>
      <c r="C116" s="777" t="e">
        <f t="shared" si="5"/>
        <v>#VALUE!</v>
      </c>
      <c r="D116" s="777" t="e">
        <f t="shared" si="6"/>
        <v>#VALUE!</v>
      </c>
      <c r="E116" s="776" t="e">
        <f t="shared" si="9"/>
        <v>#VALUE!</v>
      </c>
      <c r="F116" s="778"/>
      <c r="G116" s="778"/>
      <c r="H116" s="776" t="e">
        <f t="shared" si="7"/>
        <v>#VALUE!</v>
      </c>
    </row>
    <row r="117" spans="1:8" ht="13.5" thickBot="1">
      <c r="A117" s="775">
        <v>101</v>
      </c>
      <c r="B117" s="776" t="e">
        <f t="shared" si="8"/>
        <v>#VALUE!</v>
      </c>
      <c r="C117" s="777" t="e">
        <f t="shared" si="5"/>
        <v>#VALUE!</v>
      </c>
      <c r="D117" s="777" t="e">
        <f t="shared" si="6"/>
        <v>#VALUE!</v>
      </c>
      <c r="E117" s="776" t="e">
        <f t="shared" si="9"/>
        <v>#VALUE!</v>
      </c>
      <c r="F117" s="778"/>
      <c r="G117" s="778"/>
      <c r="H117" s="776" t="e">
        <f t="shared" si="7"/>
        <v>#VALUE!</v>
      </c>
    </row>
    <row r="118" spans="1:8" ht="13.5" thickBot="1">
      <c r="A118" s="775">
        <v>102</v>
      </c>
      <c r="B118" s="776" t="e">
        <f t="shared" si="8"/>
        <v>#VALUE!</v>
      </c>
      <c r="C118" s="777" t="e">
        <f t="shared" si="5"/>
        <v>#VALUE!</v>
      </c>
      <c r="D118" s="777" t="e">
        <f t="shared" si="6"/>
        <v>#VALUE!</v>
      </c>
      <c r="E118" s="776" t="e">
        <f t="shared" si="9"/>
        <v>#VALUE!</v>
      </c>
      <c r="F118" s="778"/>
      <c r="G118" s="778"/>
      <c r="H118" s="776" t="e">
        <f t="shared" si="7"/>
        <v>#VALUE!</v>
      </c>
    </row>
    <row r="119" spans="1:8" ht="13.5" thickBot="1">
      <c r="A119" s="775">
        <v>103</v>
      </c>
      <c r="B119" s="776" t="e">
        <f t="shared" si="8"/>
        <v>#VALUE!</v>
      </c>
      <c r="C119" s="777" t="e">
        <f t="shared" si="5"/>
        <v>#VALUE!</v>
      </c>
      <c r="D119" s="777" t="e">
        <f t="shared" si="6"/>
        <v>#VALUE!</v>
      </c>
      <c r="E119" s="776" t="e">
        <f t="shared" si="9"/>
        <v>#VALUE!</v>
      </c>
      <c r="F119" s="778"/>
      <c r="G119" s="778"/>
      <c r="H119" s="776" t="e">
        <f t="shared" si="7"/>
        <v>#VALUE!</v>
      </c>
    </row>
    <row r="120" spans="1:8" ht="13.5" thickBot="1">
      <c r="A120" s="775">
        <v>104</v>
      </c>
      <c r="B120" s="776" t="e">
        <f t="shared" si="8"/>
        <v>#VALUE!</v>
      </c>
      <c r="C120" s="777" t="e">
        <f t="shared" si="5"/>
        <v>#VALUE!</v>
      </c>
      <c r="D120" s="777" t="e">
        <f t="shared" si="6"/>
        <v>#VALUE!</v>
      </c>
      <c r="E120" s="776" t="e">
        <f t="shared" si="9"/>
        <v>#VALUE!</v>
      </c>
      <c r="F120" s="778"/>
      <c r="G120" s="778"/>
      <c r="H120" s="776" t="e">
        <f t="shared" si="7"/>
        <v>#VALUE!</v>
      </c>
    </row>
    <row r="121" spans="1:8" ht="13.5" thickBot="1">
      <c r="A121" s="775">
        <v>105</v>
      </c>
      <c r="B121" s="776" t="e">
        <f t="shared" si="8"/>
        <v>#VALUE!</v>
      </c>
      <c r="C121" s="777" t="e">
        <f t="shared" si="5"/>
        <v>#VALUE!</v>
      </c>
      <c r="D121" s="777" t="e">
        <f t="shared" si="6"/>
        <v>#VALUE!</v>
      </c>
      <c r="E121" s="776" t="e">
        <f t="shared" si="9"/>
        <v>#VALUE!</v>
      </c>
      <c r="F121" s="778"/>
      <c r="G121" s="778"/>
      <c r="H121" s="776" t="e">
        <f t="shared" si="7"/>
        <v>#VALUE!</v>
      </c>
    </row>
    <row r="122" spans="1:8" ht="13.5" thickBot="1">
      <c r="A122" s="775">
        <v>106</v>
      </c>
      <c r="B122" s="776" t="e">
        <f t="shared" si="8"/>
        <v>#VALUE!</v>
      </c>
      <c r="C122" s="777" t="e">
        <f t="shared" si="5"/>
        <v>#VALUE!</v>
      </c>
      <c r="D122" s="777" t="e">
        <f t="shared" si="6"/>
        <v>#VALUE!</v>
      </c>
      <c r="E122" s="776" t="e">
        <f t="shared" si="9"/>
        <v>#VALUE!</v>
      </c>
      <c r="F122" s="778"/>
      <c r="G122" s="778"/>
      <c r="H122" s="776" t="e">
        <f t="shared" si="7"/>
        <v>#VALUE!</v>
      </c>
    </row>
    <row r="123" spans="1:8" ht="13.5" thickBot="1">
      <c r="A123" s="775">
        <v>107</v>
      </c>
      <c r="B123" s="776" t="e">
        <f t="shared" si="8"/>
        <v>#VALUE!</v>
      </c>
      <c r="C123" s="777" t="e">
        <f t="shared" si="5"/>
        <v>#VALUE!</v>
      </c>
      <c r="D123" s="777" t="e">
        <f t="shared" si="6"/>
        <v>#VALUE!</v>
      </c>
      <c r="E123" s="776" t="e">
        <f t="shared" si="9"/>
        <v>#VALUE!</v>
      </c>
      <c r="F123" s="778"/>
      <c r="G123" s="778"/>
      <c r="H123" s="776" t="e">
        <f t="shared" si="7"/>
        <v>#VALUE!</v>
      </c>
    </row>
    <row r="124" spans="1:8" ht="13.5" thickBot="1">
      <c r="A124" s="775">
        <v>108</v>
      </c>
      <c r="B124" s="776" t="e">
        <f t="shared" si="8"/>
        <v>#VALUE!</v>
      </c>
      <c r="C124" s="777" t="e">
        <f t="shared" si="5"/>
        <v>#VALUE!</v>
      </c>
      <c r="D124" s="777" t="e">
        <f t="shared" si="6"/>
        <v>#VALUE!</v>
      </c>
      <c r="E124" s="776" t="e">
        <f t="shared" si="9"/>
        <v>#VALUE!</v>
      </c>
      <c r="F124" s="778"/>
      <c r="G124" s="778"/>
      <c r="H124" s="776" t="e">
        <f t="shared" si="7"/>
        <v>#VALUE!</v>
      </c>
    </row>
    <row r="125" spans="1:8" ht="13.5" thickBot="1">
      <c r="A125" s="775">
        <v>109</v>
      </c>
      <c r="B125" s="776" t="e">
        <f t="shared" si="8"/>
        <v>#VALUE!</v>
      </c>
      <c r="C125" s="777" t="e">
        <f t="shared" si="5"/>
        <v>#VALUE!</v>
      </c>
      <c r="D125" s="777" t="e">
        <f t="shared" si="6"/>
        <v>#VALUE!</v>
      </c>
      <c r="E125" s="776" t="e">
        <f t="shared" si="9"/>
        <v>#VALUE!</v>
      </c>
      <c r="F125" s="778"/>
      <c r="G125" s="778"/>
      <c r="H125" s="776" t="e">
        <f t="shared" si="7"/>
        <v>#VALUE!</v>
      </c>
    </row>
    <row r="126" spans="1:8" ht="13.5" thickBot="1">
      <c r="A126" s="775">
        <v>110</v>
      </c>
      <c r="B126" s="776" t="e">
        <f t="shared" si="8"/>
        <v>#VALUE!</v>
      </c>
      <c r="C126" s="777" t="e">
        <f t="shared" si="5"/>
        <v>#VALUE!</v>
      </c>
      <c r="D126" s="777" t="e">
        <f t="shared" si="6"/>
        <v>#VALUE!</v>
      </c>
      <c r="E126" s="776" t="e">
        <f t="shared" si="9"/>
        <v>#VALUE!</v>
      </c>
      <c r="F126" s="778"/>
      <c r="G126" s="778"/>
      <c r="H126" s="776" t="e">
        <f t="shared" si="7"/>
        <v>#VALUE!</v>
      </c>
    </row>
    <row r="127" spans="1:8" ht="13.5" thickBot="1">
      <c r="A127" s="775">
        <v>111</v>
      </c>
      <c r="B127" s="776" t="e">
        <f t="shared" si="8"/>
        <v>#VALUE!</v>
      </c>
      <c r="C127" s="777" t="e">
        <f t="shared" si="5"/>
        <v>#VALUE!</v>
      </c>
      <c r="D127" s="777" t="e">
        <f t="shared" si="6"/>
        <v>#VALUE!</v>
      </c>
      <c r="E127" s="776" t="e">
        <f t="shared" si="9"/>
        <v>#VALUE!</v>
      </c>
      <c r="F127" s="778"/>
      <c r="G127" s="778"/>
      <c r="H127" s="776" t="e">
        <f t="shared" si="7"/>
        <v>#VALUE!</v>
      </c>
    </row>
    <row r="128" spans="1:8" ht="13.5" thickBot="1">
      <c r="A128" s="775">
        <v>112</v>
      </c>
      <c r="B128" s="776" t="e">
        <f t="shared" si="8"/>
        <v>#VALUE!</v>
      </c>
      <c r="C128" s="777" t="e">
        <f t="shared" si="5"/>
        <v>#VALUE!</v>
      </c>
      <c r="D128" s="777" t="e">
        <f t="shared" si="6"/>
        <v>#VALUE!</v>
      </c>
      <c r="E128" s="776" t="e">
        <f t="shared" si="9"/>
        <v>#VALUE!</v>
      </c>
      <c r="F128" s="778"/>
      <c r="G128" s="778"/>
      <c r="H128" s="776" t="e">
        <f t="shared" si="7"/>
        <v>#VALUE!</v>
      </c>
    </row>
    <row r="129" spans="1:8" ht="13.5" thickBot="1">
      <c r="A129" s="775">
        <v>113</v>
      </c>
      <c r="B129" s="776" t="e">
        <f t="shared" si="8"/>
        <v>#VALUE!</v>
      </c>
      <c r="C129" s="777" t="e">
        <f t="shared" si="5"/>
        <v>#VALUE!</v>
      </c>
      <c r="D129" s="777" t="e">
        <f t="shared" si="6"/>
        <v>#VALUE!</v>
      </c>
      <c r="E129" s="776" t="e">
        <f t="shared" si="9"/>
        <v>#VALUE!</v>
      </c>
      <c r="F129" s="778"/>
      <c r="G129" s="778"/>
      <c r="H129" s="776" t="e">
        <f t="shared" si="7"/>
        <v>#VALUE!</v>
      </c>
    </row>
    <row r="130" spans="1:8" ht="13.5" thickBot="1">
      <c r="A130" s="775">
        <v>114</v>
      </c>
      <c r="B130" s="776" t="e">
        <f t="shared" si="8"/>
        <v>#VALUE!</v>
      </c>
      <c r="C130" s="777" t="e">
        <f t="shared" si="5"/>
        <v>#VALUE!</v>
      </c>
      <c r="D130" s="777" t="e">
        <f t="shared" si="6"/>
        <v>#VALUE!</v>
      </c>
      <c r="E130" s="776" t="e">
        <f t="shared" si="9"/>
        <v>#VALUE!</v>
      </c>
      <c r="F130" s="778"/>
      <c r="G130" s="778"/>
      <c r="H130" s="776" t="e">
        <f t="shared" si="7"/>
        <v>#VALUE!</v>
      </c>
    </row>
    <row r="131" spans="1:8" ht="13.5" thickBot="1">
      <c r="A131" s="775">
        <v>115</v>
      </c>
      <c r="B131" s="776" t="e">
        <f t="shared" si="8"/>
        <v>#VALUE!</v>
      </c>
      <c r="C131" s="777" t="e">
        <f t="shared" si="5"/>
        <v>#VALUE!</v>
      </c>
      <c r="D131" s="777" t="e">
        <f t="shared" si="6"/>
        <v>#VALUE!</v>
      </c>
      <c r="E131" s="776" t="e">
        <f t="shared" si="9"/>
        <v>#VALUE!</v>
      </c>
      <c r="F131" s="778"/>
      <c r="G131" s="778"/>
      <c r="H131" s="776" t="e">
        <f t="shared" si="7"/>
        <v>#VALUE!</v>
      </c>
    </row>
    <row r="132" spans="1:8" ht="13.5" thickBot="1">
      <c r="A132" s="775">
        <v>116</v>
      </c>
      <c r="B132" s="776" t="e">
        <f t="shared" si="8"/>
        <v>#VALUE!</v>
      </c>
      <c r="C132" s="777" t="e">
        <f t="shared" si="5"/>
        <v>#VALUE!</v>
      </c>
      <c r="D132" s="777" t="e">
        <f t="shared" si="6"/>
        <v>#VALUE!</v>
      </c>
      <c r="E132" s="776" t="e">
        <f t="shared" si="9"/>
        <v>#VALUE!</v>
      </c>
      <c r="F132" s="778"/>
      <c r="G132" s="778"/>
      <c r="H132" s="776" t="e">
        <f t="shared" si="7"/>
        <v>#VALUE!</v>
      </c>
    </row>
    <row r="133" spans="1:8" ht="13.5" thickBot="1">
      <c r="A133" s="775">
        <v>117</v>
      </c>
      <c r="B133" s="776" t="e">
        <f t="shared" si="8"/>
        <v>#VALUE!</v>
      </c>
      <c r="C133" s="777" t="e">
        <f t="shared" si="5"/>
        <v>#VALUE!</v>
      </c>
      <c r="D133" s="777" t="e">
        <f t="shared" si="6"/>
        <v>#VALUE!</v>
      </c>
      <c r="E133" s="776" t="e">
        <f t="shared" si="9"/>
        <v>#VALUE!</v>
      </c>
      <c r="F133" s="778"/>
      <c r="G133" s="778"/>
      <c r="H133" s="776" t="e">
        <f t="shared" si="7"/>
        <v>#VALUE!</v>
      </c>
    </row>
    <row r="134" spans="1:8" ht="13.5" thickBot="1">
      <c r="A134" s="775">
        <v>118</v>
      </c>
      <c r="B134" s="776" t="e">
        <f t="shared" si="8"/>
        <v>#VALUE!</v>
      </c>
      <c r="C134" s="777" t="e">
        <f t="shared" si="5"/>
        <v>#VALUE!</v>
      </c>
      <c r="D134" s="777" t="e">
        <f t="shared" si="6"/>
        <v>#VALUE!</v>
      </c>
      <c r="E134" s="776" t="e">
        <f t="shared" si="9"/>
        <v>#VALUE!</v>
      </c>
      <c r="F134" s="778"/>
      <c r="G134" s="778"/>
      <c r="H134" s="776" t="e">
        <f t="shared" si="7"/>
        <v>#VALUE!</v>
      </c>
    </row>
    <row r="135" spans="1:8" ht="13.5" thickBot="1">
      <c r="A135" s="775">
        <v>119</v>
      </c>
      <c r="B135" s="776" t="e">
        <f t="shared" si="8"/>
        <v>#VALUE!</v>
      </c>
      <c r="C135" s="777" t="e">
        <f t="shared" si="5"/>
        <v>#VALUE!</v>
      </c>
      <c r="D135" s="777" t="e">
        <f t="shared" si="6"/>
        <v>#VALUE!</v>
      </c>
      <c r="E135" s="776" t="e">
        <f t="shared" si="9"/>
        <v>#VALUE!</v>
      </c>
      <c r="F135" s="778"/>
      <c r="G135" s="778"/>
      <c r="H135" s="776" t="e">
        <f t="shared" si="7"/>
        <v>#VALUE!</v>
      </c>
    </row>
    <row r="136" spans="1:8" ht="13.5" thickBot="1">
      <c r="A136" s="775">
        <v>120</v>
      </c>
      <c r="B136" s="776" t="e">
        <f t="shared" si="8"/>
        <v>#VALUE!</v>
      </c>
      <c r="C136" s="777" t="e">
        <f t="shared" si="5"/>
        <v>#VALUE!</v>
      </c>
      <c r="D136" s="777" t="e">
        <f t="shared" si="6"/>
        <v>#VALUE!</v>
      </c>
      <c r="E136" s="776" t="e">
        <f t="shared" si="9"/>
        <v>#VALUE!</v>
      </c>
      <c r="F136" s="778"/>
      <c r="G136" s="778"/>
      <c r="H136" s="776" t="e">
        <f t="shared" si="7"/>
        <v>#VALUE!</v>
      </c>
    </row>
    <row r="137" spans="1:8" ht="13.5" thickBot="1">
      <c r="A137" s="775">
        <v>121</v>
      </c>
      <c r="B137" s="776" t="e">
        <f t="shared" si="8"/>
        <v>#VALUE!</v>
      </c>
      <c r="C137" s="777" t="e">
        <f t="shared" si="5"/>
        <v>#VALUE!</v>
      </c>
      <c r="D137" s="777" t="e">
        <f t="shared" si="6"/>
        <v>#VALUE!</v>
      </c>
      <c r="E137" s="776" t="e">
        <f t="shared" si="9"/>
        <v>#VALUE!</v>
      </c>
      <c r="F137" s="778"/>
      <c r="G137" s="778"/>
      <c r="H137" s="776" t="e">
        <f t="shared" si="7"/>
        <v>#VALUE!</v>
      </c>
    </row>
    <row r="138" spans="1:8" ht="13.5" thickBot="1">
      <c r="A138" s="775">
        <v>122</v>
      </c>
      <c r="B138" s="776" t="e">
        <f t="shared" si="8"/>
        <v>#VALUE!</v>
      </c>
      <c r="C138" s="777" t="e">
        <f t="shared" si="5"/>
        <v>#VALUE!</v>
      </c>
      <c r="D138" s="777" t="e">
        <f t="shared" si="6"/>
        <v>#VALUE!</v>
      </c>
      <c r="E138" s="776" t="e">
        <f t="shared" si="9"/>
        <v>#VALUE!</v>
      </c>
      <c r="F138" s="778"/>
      <c r="G138" s="778"/>
      <c r="H138" s="776" t="e">
        <f t="shared" si="7"/>
        <v>#VALUE!</v>
      </c>
    </row>
    <row r="139" spans="1:8" ht="13.5" thickBot="1">
      <c r="A139" s="775">
        <v>123</v>
      </c>
      <c r="B139" s="776" t="e">
        <f t="shared" si="8"/>
        <v>#VALUE!</v>
      </c>
      <c r="C139" s="777" t="e">
        <f t="shared" si="5"/>
        <v>#VALUE!</v>
      </c>
      <c r="D139" s="777" t="e">
        <f t="shared" si="6"/>
        <v>#VALUE!</v>
      </c>
      <c r="E139" s="776" t="e">
        <f t="shared" si="9"/>
        <v>#VALUE!</v>
      </c>
      <c r="F139" s="778"/>
      <c r="G139" s="778"/>
      <c r="H139" s="776" t="e">
        <f t="shared" si="7"/>
        <v>#VALUE!</v>
      </c>
    </row>
    <row r="140" spans="1:8" ht="13.5" thickBot="1">
      <c r="A140" s="775">
        <v>124</v>
      </c>
      <c r="B140" s="776" t="e">
        <f t="shared" si="8"/>
        <v>#VALUE!</v>
      </c>
      <c r="C140" s="777" t="e">
        <f t="shared" si="5"/>
        <v>#VALUE!</v>
      </c>
      <c r="D140" s="777" t="e">
        <f t="shared" si="6"/>
        <v>#VALUE!</v>
      </c>
      <c r="E140" s="776" t="e">
        <f t="shared" si="9"/>
        <v>#VALUE!</v>
      </c>
      <c r="F140" s="778"/>
      <c r="G140" s="778"/>
      <c r="H140" s="776" t="e">
        <f t="shared" si="7"/>
        <v>#VALUE!</v>
      </c>
    </row>
    <row r="141" spans="1:8" ht="13.5" thickBot="1">
      <c r="A141" s="775">
        <v>125</v>
      </c>
      <c r="B141" s="776" t="e">
        <f t="shared" si="8"/>
        <v>#VALUE!</v>
      </c>
      <c r="C141" s="777" t="e">
        <f t="shared" si="5"/>
        <v>#VALUE!</v>
      </c>
      <c r="D141" s="777" t="e">
        <f t="shared" si="6"/>
        <v>#VALUE!</v>
      </c>
      <c r="E141" s="776" t="e">
        <f t="shared" si="9"/>
        <v>#VALUE!</v>
      </c>
      <c r="F141" s="778"/>
      <c r="G141" s="778"/>
      <c r="H141" s="776" t="e">
        <f t="shared" si="7"/>
        <v>#VALUE!</v>
      </c>
    </row>
    <row r="142" spans="1:8" ht="13.5" thickBot="1">
      <c r="A142" s="775">
        <v>126</v>
      </c>
      <c r="B142" s="776" t="e">
        <f t="shared" si="8"/>
        <v>#VALUE!</v>
      </c>
      <c r="C142" s="777" t="e">
        <f t="shared" si="5"/>
        <v>#VALUE!</v>
      </c>
      <c r="D142" s="777" t="e">
        <f t="shared" si="6"/>
        <v>#VALUE!</v>
      </c>
      <c r="E142" s="776" t="e">
        <f t="shared" si="9"/>
        <v>#VALUE!</v>
      </c>
      <c r="F142" s="778"/>
      <c r="G142" s="778"/>
      <c r="H142" s="776" t="e">
        <f t="shared" si="7"/>
        <v>#VALUE!</v>
      </c>
    </row>
    <row r="143" spans="1:8" ht="13.5" thickBot="1">
      <c r="A143" s="775">
        <v>127</v>
      </c>
      <c r="B143" s="776" t="e">
        <f t="shared" si="8"/>
        <v>#VALUE!</v>
      </c>
      <c r="C143" s="777" t="e">
        <f t="shared" si="5"/>
        <v>#VALUE!</v>
      </c>
      <c r="D143" s="777" t="e">
        <f t="shared" si="6"/>
        <v>#VALUE!</v>
      </c>
      <c r="E143" s="776" t="e">
        <f t="shared" si="9"/>
        <v>#VALUE!</v>
      </c>
      <c r="F143" s="778"/>
      <c r="G143" s="778"/>
      <c r="H143" s="776" t="e">
        <f t="shared" si="7"/>
        <v>#VALUE!</v>
      </c>
    </row>
    <row r="144" spans="1:8" ht="13.5" thickBot="1">
      <c r="A144" s="775">
        <v>128</v>
      </c>
      <c r="B144" s="776" t="e">
        <f t="shared" si="8"/>
        <v>#VALUE!</v>
      </c>
      <c r="C144" s="777" t="e">
        <f t="shared" si="5"/>
        <v>#VALUE!</v>
      </c>
      <c r="D144" s="777" t="e">
        <f t="shared" si="6"/>
        <v>#VALUE!</v>
      </c>
      <c r="E144" s="776" t="e">
        <f t="shared" si="9"/>
        <v>#VALUE!</v>
      </c>
      <c r="F144" s="778"/>
      <c r="G144" s="778"/>
      <c r="H144" s="776" t="e">
        <f t="shared" si="7"/>
        <v>#VALUE!</v>
      </c>
    </row>
    <row r="145" spans="1:8" ht="13.5" thickBot="1">
      <c r="A145" s="775">
        <v>129</v>
      </c>
      <c r="B145" s="776" t="e">
        <f t="shared" si="8"/>
        <v>#VALUE!</v>
      </c>
      <c r="C145" s="777" t="e">
        <f t="shared" si="5"/>
        <v>#VALUE!</v>
      </c>
      <c r="D145" s="777" t="e">
        <f t="shared" si="6"/>
        <v>#VALUE!</v>
      </c>
      <c r="E145" s="776" t="e">
        <f t="shared" si="9"/>
        <v>#VALUE!</v>
      </c>
      <c r="F145" s="778"/>
      <c r="G145" s="778"/>
      <c r="H145" s="776" t="e">
        <f t="shared" si="7"/>
        <v>#VALUE!</v>
      </c>
    </row>
    <row r="146" spans="1:8" ht="13.5" thickBot="1">
      <c r="A146" s="775">
        <v>130</v>
      </c>
      <c r="B146" s="776" t="e">
        <f t="shared" si="8"/>
        <v>#VALUE!</v>
      </c>
      <c r="C146" s="777" t="e">
        <f t="shared" ref="C146:C209" si="10">$B$14</f>
        <v>#VALUE!</v>
      </c>
      <c r="D146" s="777" t="e">
        <f t="shared" ref="D146:D209" si="11">$C146-$E146</f>
        <v>#VALUE!</v>
      </c>
      <c r="E146" s="776" t="e">
        <f t="shared" si="9"/>
        <v>#VALUE!</v>
      </c>
      <c r="F146" s="778"/>
      <c r="G146" s="778"/>
      <c r="H146" s="776" t="e">
        <f t="shared" ref="H146:H196" si="12">$B146-$D146</f>
        <v>#VALUE!</v>
      </c>
    </row>
    <row r="147" spans="1:8" ht="13.5" thickBot="1">
      <c r="A147" s="775">
        <v>131</v>
      </c>
      <c r="B147" s="776" t="e">
        <f t="shared" ref="B147:B210" si="13">H146</f>
        <v>#VALUE!</v>
      </c>
      <c r="C147" s="777" t="e">
        <f t="shared" si="10"/>
        <v>#VALUE!</v>
      </c>
      <c r="D147" s="777" t="e">
        <f t="shared" si="11"/>
        <v>#VALUE!</v>
      </c>
      <c r="E147" s="776" t="e">
        <f t="shared" si="9"/>
        <v>#VALUE!</v>
      </c>
      <c r="F147" s="778"/>
      <c r="G147" s="778"/>
      <c r="H147" s="776" t="e">
        <f t="shared" si="12"/>
        <v>#VALUE!</v>
      </c>
    </row>
    <row r="148" spans="1:8" ht="13.5" thickBot="1">
      <c r="A148" s="775">
        <v>132</v>
      </c>
      <c r="B148" s="776" t="e">
        <f t="shared" si="13"/>
        <v>#VALUE!</v>
      </c>
      <c r="C148" s="777" t="e">
        <f t="shared" si="10"/>
        <v>#VALUE!</v>
      </c>
      <c r="D148" s="777" t="e">
        <f t="shared" si="11"/>
        <v>#VALUE!</v>
      </c>
      <c r="E148" s="776" t="e">
        <f t="shared" si="9"/>
        <v>#VALUE!</v>
      </c>
      <c r="F148" s="778"/>
      <c r="G148" s="778"/>
      <c r="H148" s="776" t="e">
        <f t="shared" si="12"/>
        <v>#VALUE!</v>
      </c>
    </row>
    <row r="149" spans="1:8" ht="13.5" thickBot="1">
      <c r="A149" s="775">
        <v>133</v>
      </c>
      <c r="B149" s="776" t="e">
        <f t="shared" si="13"/>
        <v>#VALUE!</v>
      </c>
      <c r="C149" s="777" t="e">
        <f t="shared" si="10"/>
        <v>#VALUE!</v>
      </c>
      <c r="D149" s="777" t="e">
        <f t="shared" si="11"/>
        <v>#VALUE!</v>
      </c>
      <c r="E149" s="776" t="e">
        <f t="shared" si="9"/>
        <v>#VALUE!</v>
      </c>
      <c r="F149" s="778"/>
      <c r="G149" s="778"/>
      <c r="H149" s="776" t="e">
        <f t="shared" si="12"/>
        <v>#VALUE!</v>
      </c>
    </row>
    <row r="150" spans="1:8" ht="13.5" thickBot="1">
      <c r="A150" s="775">
        <v>134</v>
      </c>
      <c r="B150" s="776" t="e">
        <f t="shared" si="13"/>
        <v>#VALUE!</v>
      </c>
      <c r="C150" s="777" t="e">
        <f t="shared" si="10"/>
        <v>#VALUE!</v>
      </c>
      <c r="D150" s="777" t="e">
        <f t="shared" si="11"/>
        <v>#VALUE!</v>
      </c>
      <c r="E150" s="776" t="e">
        <f t="shared" ref="E150:E213" si="14">IF($B150*$B$5&gt;0,$B150*$B$5,0)</f>
        <v>#VALUE!</v>
      </c>
      <c r="F150" s="778"/>
      <c r="G150" s="778"/>
      <c r="H150" s="776" t="e">
        <f t="shared" si="12"/>
        <v>#VALUE!</v>
      </c>
    </row>
    <row r="151" spans="1:8" ht="13.5" thickBot="1">
      <c r="A151" s="775">
        <v>135</v>
      </c>
      <c r="B151" s="776" t="e">
        <f t="shared" si="13"/>
        <v>#VALUE!</v>
      </c>
      <c r="C151" s="777" t="e">
        <f t="shared" si="10"/>
        <v>#VALUE!</v>
      </c>
      <c r="D151" s="777" t="e">
        <f t="shared" si="11"/>
        <v>#VALUE!</v>
      </c>
      <c r="E151" s="776" t="e">
        <f t="shared" si="14"/>
        <v>#VALUE!</v>
      </c>
      <c r="F151" s="778"/>
      <c r="G151" s="778"/>
      <c r="H151" s="776" t="e">
        <f t="shared" si="12"/>
        <v>#VALUE!</v>
      </c>
    </row>
    <row r="152" spans="1:8" ht="13.5" thickBot="1">
      <c r="A152" s="775">
        <v>136</v>
      </c>
      <c r="B152" s="776" t="e">
        <f t="shared" si="13"/>
        <v>#VALUE!</v>
      </c>
      <c r="C152" s="777" t="e">
        <f t="shared" si="10"/>
        <v>#VALUE!</v>
      </c>
      <c r="D152" s="777" t="e">
        <f t="shared" si="11"/>
        <v>#VALUE!</v>
      </c>
      <c r="E152" s="776" t="e">
        <f t="shared" si="14"/>
        <v>#VALUE!</v>
      </c>
      <c r="F152" s="778"/>
      <c r="G152" s="778"/>
      <c r="H152" s="776" t="e">
        <f t="shared" si="12"/>
        <v>#VALUE!</v>
      </c>
    </row>
    <row r="153" spans="1:8" ht="13.5" thickBot="1">
      <c r="A153" s="775">
        <v>137</v>
      </c>
      <c r="B153" s="776" t="e">
        <f t="shared" si="13"/>
        <v>#VALUE!</v>
      </c>
      <c r="C153" s="777" t="e">
        <f t="shared" si="10"/>
        <v>#VALUE!</v>
      </c>
      <c r="D153" s="777" t="e">
        <f t="shared" si="11"/>
        <v>#VALUE!</v>
      </c>
      <c r="E153" s="776" t="e">
        <f t="shared" si="14"/>
        <v>#VALUE!</v>
      </c>
      <c r="F153" s="778"/>
      <c r="G153" s="778"/>
      <c r="H153" s="776" t="e">
        <f t="shared" si="12"/>
        <v>#VALUE!</v>
      </c>
    </row>
    <row r="154" spans="1:8" ht="13.5" thickBot="1">
      <c r="A154" s="775">
        <v>138</v>
      </c>
      <c r="B154" s="776" t="e">
        <f t="shared" si="13"/>
        <v>#VALUE!</v>
      </c>
      <c r="C154" s="777" t="e">
        <f t="shared" si="10"/>
        <v>#VALUE!</v>
      </c>
      <c r="D154" s="777" t="e">
        <f t="shared" si="11"/>
        <v>#VALUE!</v>
      </c>
      <c r="E154" s="776" t="e">
        <f t="shared" si="14"/>
        <v>#VALUE!</v>
      </c>
      <c r="F154" s="778"/>
      <c r="G154" s="778"/>
      <c r="H154" s="776" t="e">
        <f t="shared" si="12"/>
        <v>#VALUE!</v>
      </c>
    </row>
    <row r="155" spans="1:8" ht="13.5" thickBot="1">
      <c r="A155" s="775">
        <v>139</v>
      </c>
      <c r="B155" s="776" t="e">
        <f t="shared" si="13"/>
        <v>#VALUE!</v>
      </c>
      <c r="C155" s="777" t="e">
        <f t="shared" si="10"/>
        <v>#VALUE!</v>
      </c>
      <c r="D155" s="777" t="e">
        <f t="shared" si="11"/>
        <v>#VALUE!</v>
      </c>
      <c r="E155" s="776" t="e">
        <f t="shared" si="14"/>
        <v>#VALUE!</v>
      </c>
      <c r="F155" s="778"/>
      <c r="G155" s="778"/>
      <c r="H155" s="776" t="e">
        <f t="shared" si="12"/>
        <v>#VALUE!</v>
      </c>
    </row>
    <row r="156" spans="1:8" ht="13.5" thickBot="1">
      <c r="A156" s="775">
        <v>140</v>
      </c>
      <c r="B156" s="776" t="e">
        <f t="shared" si="13"/>
        <v>#VALUE!</v>
      </c>
      <c r="C156" s="777" t="e">
        <f t="shared" si="10"/>
        <v>#VALUE!</v>
      </c>
      <c r="D156" s="777" t="e">
        <f t="shared" si="11"/>
        <v>#VALUE!</v>
      </c>
      <c r="E156" s="776" t="e">
        <f t="shared" si="14"/>
        <v>#VALUE!</v>
      </c>
      <c r="F156" s="778"/>
      <c r="G156" s="778"/>
      <c r="H156" s="776" t="e">
        <f t="shared" si="12"/>
        <v>#VALUE!</v>
      </c>
    </row>
    <row r="157" spans="1:8" ht="13.5" thickBot="1">
      <c r="A157" s="775">
        <v>141</v>
      </c>
      <c r="B157" s="776" t="e">
        <f t="shared" si="13"/>
        <v>#VALUE!</v>
      </c>
      <c r="C157" s="777" t="e">
        <f t="shared" si="10"/>
        <v>#VALUE!</v>
      </c>
      <c r="D157" s="777" t="e">
        <f t="shared" si="11"/>
        <v>#VALUE!</v>
      </c>
      <c r="E157" s="776" t="e">
        <f t="shared" si="14"/>
        <v>#VALUE!</v>
      </c>
      <c r="F157" s="778"/>
      <c r="G157" s="778"/>
      <c r="H157" s="776" t="e">
        <f t="shared" si="12"/>
        <v>#VALUE!</v>
      </c>
    </row>
    <row r="158" spans="1:8" ht="13.5" thickBot="1">
      <c r="A158" s="775">
        <v>142</v>
      </c>
      <c r="B158" s="776" t="e">
        <f t="shared" si="13"/>
        <v>#VALUE!</v>
      </c>
      <c r="C158" s="777" t="e">
        <f t="shared" si="10"/>
        <v>#VALUE!</v>
      </c>
      <c r="D158" s="777" t="e">
        <f t="shared" si="11"/>
        <v>#VALUE!</v>
      </c>
      <c r="E158" s="776" t="e">
        <f t="shared" si="14"/>
        <v>#VALUE!</v>
      </c>
      <c r="F158" s="778"/>
      <c r="G158" s="778"/>
      <c r="H158" s="776" t="e">
        <f t="shared" si="12"/>
        <v>#VALUE!</v>
      </c>
    </row>
    <row r="159" spans="1:8" ht="13.5" thickBot="1">
      <c r="A159" s="775">
        <v>143</v>
      </c>
      <c r="B159" s="776" t="e">
        <f t="shared" si="13"/>
        <v>#VALUE!</v>
      </c>
      <c r="C159" s="777" t="e">
        <f t="shared" si="10"/>
        <v>#VALUE!</v>
      </c>
      <c r="D159" s="777" t="e">
        <f t="shared" si="11"/>
        <v>#VALUE!</v>
      </c>
      <c r="E159" s="776" t="e">
        <f t="shared" si="14"/>
        <v>#VALUE!</v>
      </c>
      <c r="F159" s="778"/>
      <c r="G159" s="778"/>
      <c r="H159" s="776" t="e">
        <f t="shared" si="12"/>
        <v>#VALUE!</v>
      </c>
    </row>
    <row r="160" spans="1:8" ht="13.5" thickBot="1">
      <c r="A160" s="775">
        <v>144</v>
      </c>
      <c r="B160" s="776" t="e">
        <f t="shared" si="13"/>
        <v>#VALUE!</v>
      </c>
      <c r="C160" s="777" t="e">
        <f t="shared" si="10"/>
        <v>#VALUE!</v>
      </c>
      <c r="D160" s="777" t="e">
        <f t="shared" si="11"/>
        <v>#VALUE!</v>
      </c>
      <c r="E160" s="776" t="e">
        <f t="shared" si="14"/>
        <v>#VALUE!</v>
      </c>
      <c r="F160" s="778"/>
      <c r="G160" s="778"/>
      <c r="H160" s="776" t="e">
        <f t="shared" si="12"/>
        <v>#VALUE!</v>
      </c>
    </row>
    <row r="161" spans="1:8" ht="13.5" thickBot="1">
      <c r="A161" s="775">
        <v>145</v>
      </c>
      <c r="B161" s="776" t="e">
        <f t="shared" si="13"/>
        <v>#VALUE!</v>
      </c>
      <c r="C161" s="777" t="e">
        <f t="shared" si="10"/>
        <v>#VALUE!</v>
      </c>
      <c r="D161" s="777" t="e">
        <f t="shared" si="11"/>
        <v>#VALUE!</v>
      </c>
      <c r="E161" s="776" t="e">
        <f t="shared" si="14"/>
        <v>#VALUE!</v>
      </c>
      <c r="F161" s="778"/>
      <c r="G161" s="778"/>
      <c r="H161" s="776" t="e">
        <f t="shared" si="12"/>
        <v>#VALUE!</v>
      </c>
    </row>
    <row r="162" spans="1:8" ht="13.5" thickBot="1">
      <c r="A162" s="775">
        <v>146</v>
      </c>
      <c r="B162" s="776" t="e">
        <f t="shared" si="13"/>
        <v>#VALUE!</v>
      </c>
      <c r="C162" s="777" t="e">
        <f t="shared" si="10"/>
        <v>#VALUE!</v>
      </c>
      <c r="D162" s="777" t="e">
        <f t="shared" si="11"/>
        <v>#VALUE!</v>
      </c>
      <c r="E162" s="776" t="e">
        <f t="shared" si="14"/>
        <v>#VALUE!</v>
      </c>
      <c r="F162" s="778"/>
      <c r="G162" s="778"/>
      <c r="H162" s="776" t="e">
        <f t="shared" si="12"/>
        <v>#VALUE!</v>
      </c>
    </row>
    <row r="163" spans="1:8" ht="13.5" thickBot="1">
      <c r="A163" s="775">
        <v>147</v>
      </c>
      <c r="B163" s="776" t="e">
        <f t="shared" si="13"/>
        <v>#VALUE!</v>
      </c>
      <c r="C163" s="777" t="e">
        <f t="shared" si="10"/>
        <v>#VALUE!</v>
      </c>
      <c r="D163" s="777" t="e">
        <f t="shared" si="11"/>
        <v>#VALUE!</v>
      </c>
      <c r="E163" s="776" t="e">
        <f t="shared" si="14"/>
        <v>#VALUE!</v>
      </c>
      <c r="F163" s="778"/>
      <c r="G163" s="778"/>
      <c r="H163" s="776" t="e">
        <f t="shared" si="12"/>
        <v>#VALUE!</v>
      </c>
    </row>
    <row r="164" spans="1:8" ht="13.5" thickBot="1">
      <c r="A164" s="775">
        <v>148</v>
      </c>
      <c r="B164" s="776" t="e">
        <f t="shared" si="13"/>
        <v>#VALUE!</v>
      </c>
      <c r="C164" s="777" t="e">
        <f t="shared" si="10"/>
        <v>#VALUE!</v>
      </c>
      <c r="D164" s="777" t="e">
        <f t="shared" si="11"/>
        <v>#VALUE!</v>
      </c>
      <c r="E164" s="776" t="e">
        <f t="shared" si="14"/>
        <v>#VALUE!</v>
      </c>
      <c r="F164" s="778"/>
      <c r="G164" s="778"/>
      <c r="H164" s="776" t="e">
        <f t="shared" si="12"/>
        <v>#VALUE!</v>
      </c>
    </row>
    <row r="165" spans="1:8" ht="13.5" thickBot="1">
      <c r="A165" s="775">
        <v>149</v>
      </c>
      <c r="B165" s="776" t="e">
        <f t="shared" si="13"/>
        <v>#VALUE!</v>
      </c>
      <c r="C165" s="777" t="e">
        <f t="shared" si="10"/>
        <v>#VALUE!</v>
      </c>
      <c r="D165" s="777" t="e">
        <f t="shared" si="11"/>
        <v>#VALUE!</v>
      </c>
      <c r="E165" s="776" t="e">
        <f t="shared" si="14"/>
        <v>#VALUE!</v>
      </c>
      <c r="F165" s="778"/>
      <c r="G165" s="778"/>
      <c r="H165" s="776" t="e">
        <f t="shared" si="12"/>
        <v>#VALUE!</v>
      </c>
    </row>
    <row r="166" spans="1:8" ht="13.5" thickBot="1">
      <c r="A166" s="775">
        <v>150</v>
      </c>
      <c r="B166" s="776" t="e">
        <f t="shared" si="13"/>
        <v>#VALUE!</v>
      </c>
      <c r="C166" s="777" t="e">
        <f t="shared" si="10"/>
        <v>#VALUE!</v>
      </c>
      <c r="D166" s="777" t="e">
        <f t="shared" si="11"/>
        <v>#VALUE!</v>
      </c>
      <c r="E166" s="776" t="e">
        <f t="shared" si="14"/>
        <v>#VALUE!</v>
      </c>
      <c r="F166" s="778"/>
      <c r="G166" s="778"/>
      <c r="H166" s="776" t="e">
        <f t="shared" si="12"/>
        <v>#VALUE!</v>
      </c>
    </row>
    <row r="167" spans="1:8" ht="13.5" thickBot="1">
      <c r="A167" s="775">
        <v>151</v>
      </c>
      <c r="B167" s="776" t="e">
        <f t="shared" si="13"/>
        <v>#VALUE!</v>
      </c>
      <c r="C167" s="777" t="e">
        <f t="shared" si="10"/>
        <v>#VALUE!</v>
      </c>
      <c r="D167" s="777" t="e">
        <f t="shared" si="11"/>
        <v>#VALUE!</v>
      </c>
      <c r="E167" s="776" t="e">
        <f t="shared" si="14"/>
        <v>#VALUE!</v>
      </c>
      <c r="F167" s="778"/>
      <c r="G167" s="778"/>
      <c r="H167" s="776" t="e">
        <f t="shared" si="12"/>
        <v>#VALUE!</v>
      </c>
    </row>
    <row r="168" spans="1:8" ht="13.5" thickBot="1">
      <c r="A168" s="775">
        <v>152</v>
      </c>
      <c r="B168" s="776" t="e">
        <f t="shared" si="13"/>
        <v>#VALUE!</v>
      </c>
      <c r="C168" s="777" t="e">
        <f t="shared" si="10"/>
        <v>#VALUE!</v>
      </c>
      <c r="D168" s="777" t="e">
        <f t="shared" si="11"/>
        <v>#VALUE!</v>
      </c>
      <c r="E168" s="776" t="e">
        <f t="shared" si="14"/>
        <v>#VALUE!</v>
      </c>
      <c r="F168" s="778"/>
      <c r="G168" s="778"/>
      <c r="H168" s="776" t="e">
        <f t="shared" si="12"/>
        <v>#VALUE!</v>
      </c>
    </row>
    <row r="169" spans="1:8" ht="13.5" thickBot="1">
      <c r="A169" s="775">
        <v>153</v>
      </c>
      <c r="B169" s="776" t="e">
        <f t="shared" si="13"/>
        <v>#VALUE!</v>
      </c>
      <c r="C169" s="777" t="e">
        <f t="shared" si="10"/>
        <v>#VALUE!</v>
      </c>
      <c r="D169" s="777" t="e">
        <f t="shared" si="11"/>
        <v>#VALUE!</v>
      </c>
      <c r="E169" s="776" t="e">
        <f t="shared" si="14"/>
        <v>#VALUE!</v>
      </c>
      <c r="F169" s="778"/>
      <c r="G169" s="778"/>
      <c r="H169" s="776" t="e">
        <f t="shared" si="12"/>
        <v>#VALUE!</v>
      </c>
    </row>
    <row r="170" spans="1:8" ht="13.5" thickBot="1">
      <c r="A170" s="775">
        <v>154</v>
      </c>
      <c r="B170" s="776" t="e">
        <f t="shared" si="13"/>
        <v>#VALUE!</v>
      </c>
      <c r="C170" s="777" t="e">
        <f t="shared" si="10"/>
        <v>#VALUE!</v>
      </c>
      <c r="D170" s="777" t="e">
        <f t="shared" si="11"/>
        <v>#VALUE!</v>
      </c>
      <c r="E170" s="776" t="e">
        <f t="shared" si="14"/>
        <v>#VALUE!</v>
      </c>
      <c r="F170" s="778"/>
      <c r="G170" s="778"/>
      <c r="H170" s="776" t="e">
        <f t="shared" si="12"/>
        <v>#VALUE!</v>
      </c>
    </row>
    <row r="171" spans="1:8" ht="13.5" thickBot="1">
      <c r="A171" s="775">
        <v>155</v>
      </c>
      <c r="B171" s="776" t="e">
        <f t="shared" si="13"/>
        <v>#VALUE!</v>
      </c>
      <c r="C171" s="777" t="e">
        <f t="shared" si="10"/>
        <v>#VALUE!</v>
      </c>
      <c r="D171" s="777" t="e">
        <f t="shared" si="11"/>
        <v>#VALUE!</v>
      </c>
      <c r="E171" s="776" t="e">
        <f t="shared" si="14"/>
        <v>#VALUE!</v>
      </c>
      <c r="F171" s="778"/>
      <c r="G171" s="778"/>
      <c r="H171" s="776" t="e">
        <f t="shared" si="12"/>
        <v>#VALUE!</v>
      </c>
    </row>
    <row r="172" spans="1:8" ht="13.5" thickBot="1">
      <c r="A172" s="775">
        <v>156</v>
      </c>
      <c r="B172" s="776" t="e">
        <f t="shared" si="13"/>
        <v>#VALUE!</v>
      </c>
      <c r="C172" s="777" t="e">
        <f t="shared" si="10"/>
        <v>#VALUE!</v>
      </c>
      <c r="D172" s="777" t="e">
        <f t="shared" si="11"/>
        <v>#VALUE!</v>
      </c>
      <c r="E172" s="776" t="e">
        <f t="shared" si="14"/>
        <v>#VALUE!</v>
      </c>
      <c r="F172" s="778"/>
      <c r="G172" s="778"/>
      <c r="H172" s="776" t="e">
        <f t="shared" si="12"/>
        <v>#VALUE!</v>
      </c>
    </row>
    <row r="173" spans="1:8" ht="13.5" thickBot="1">
      <c r="A173" s="775">
        <v>157</v>
      </c>
      <c r="B173" s="776" t="e">
        <f t="shared" si="13"/>
        <v>#VALUE!</v>
      </c>
      <c r="C173" s="777" t="e">
        <f t="shared" si="10"/>
        <v>#VALUE!</v>
      </c>
      <c r="D173" s="777" t="e">
        <f t="shared" si="11"/>
        <v>#VALUE!</v>
      </c>
      <c r="E173" s="776" t="e">
        <f t="shared" si="14"/>
        <v>#VALUE!</v>
      </c>
      <c r="F173" s="778"/>
      <c r="G173" s="778"/>
      <c r="H173" s="776" t="e">
        <f t="shared" si="12"/>
        <v>#VALUE!</v>
      </c>
    </row>
    <row r="174" spans="1:8" ht="13.5" thickBot="1">
      <c r="A174" s="775">
        <v>158</v>
      </c>
      <c r="B174" s="776" t="e">
        <f t="shared" si="13"/>
        <v>#VALUE!</v>
      </c>
      <c r="C174" s="777" t="e">
        <f t="shared" si="10"/>
        <v>#VALUE!</v>
      </c>
      <c r="D174" s="777" t="e">
        <f t="shared" si="11"/>
        <v>#VALUE!</v>
      </c>
      <c r="E174" s="776" t="e">
        <f t="shared" si="14"/>
        <v>#VALUE!</v>
      </c>
      <c r="F174" s="778"/>
      <c r="G174" s="778"/>
      <c r="H174" s="776" t="e">
        <f t="shared" si="12"/>
        <v>#VALUE!</v>
      </c>
    </row>
    <row r="175" spans="1:8" ht="13.5" thickBot="1">
      <c r="A175" s="775">
        <v>159</v>
      </c>
      <c r="B175" s="776" t="e">
        <f t="shared" si="13"/>
        <v>#VALUE!</v>
      </c>
      <c r="C175" s="777" t="e">
        <f t="shared" si="10"/>
        <v>#VALUE!</v>
      </c>
      <c r="D175" s="777" t="e">
        <f t="shared" si="11"/>
        <v>#VALUE!</v>
      </c>
      <c r="E175" s="776" t="e">
        <f t="shared" si="14"/>
        <v>#VALUE!</v>
      </c>
      <c r="F175" s="778"/>
      <c r="G175" s="778"/>
      <c r="H175" s="776" t="e">
        <f t="shared" si="12"/>
        <v>#VALUE!</v>
      </c>
    </row>
    <row r="176" spans="1:8" ht="13.5" thickBot="1">
      <c r="A176" s="775">
        <v>160</v>
      </c>
      <c r="B176" s="776" t="e">
        <f t="shared" si="13"/>
        <v>#VALUE!</v>
      </c>
      <c r="C176" s="777" t="e">
        <f t="shared" si="10"/>
        <v>#VALUE!</v>
      </c>
      <c r="D176" s="777" t="e">
        <f t="shared" si="11"/>
        <v>#VALUE!</v>
      </c>
      <c r="E176" s="776" t="e">
        <f t="shared" si="14"/>
        <v>#VALUE!</v>
      </c>
      <c r="F176" s="778"/>
      <c r="G176" s="778"/>
      <c r="H176" s="776" t="e">
        <f t="shared" si="12"/>
        <v>#VALUE!</v>
      </c>
    </row>
    <row r="177" spans="1:8" ht="13.5" thickBot="1">
      <c r="A177" s="775">
        <v>161</v>
      </c>
      <c r="B177" s="776" t="e">
        <f t="shared" si="13"/>
        <v>#VALUE!</v>
      </c>
      <c r="C177" s="777" t="e">
        <f t="shared" si="10"/>
        <v>#VALUE!</v>
      </c>
      <c r="D177" s="777" t="e">
        <f t="shared" si="11"/>
        <v>#VALUE!</v>
      </c>
      <c r="E177" s="776" t="e">
        <f t="shared" si="14"/>
        <v>#VALUE!</v>
      </c>
      <c r="F177" s="778"/>
      <c r="G177" s="778"/>
      <c r="H177" s="776" t="e">
        <f t="shared" si="12"/>
        <v>#VALUE!</v>
      </c>
    </row>
    <row r="178" spans="1:8" ht="13.5" thickBot="1">
      <c r="A178" s="775">
        <v>162</v>
      </c>
      <c r="B178" s="776" t="e">
        <f t="shared" si="13"/>
        <v>#VALUE!</v>
      </c>
      <c r="C178" s="777" t="e">
        <f t="shared" si="10"/>
        <v>#VALUE!</v>
      </c>
      <c r="D178" s="777" t="e">
        <f t="shared" si="11"/>
        <v>#VALUE!</v>
      </c>
      <c r="E178" s="776" t="e">
        <f t="shared" si="14"/>
        <v>#VALUE!</v>
      </c>
      <c r="F178" s="778"/>
      <c r="G178" s="778"/>
      <c r="H178" s="776" t="e">
        <f t="shared" si="12"/>
        <v>#VALUE!</v>
      </c>
    </row>
    <row r="179" spans="1:8" ht="13.5" thickBot="1">
      <c r="A179" s="775">
        <v>163</v>
      </c>
      <c r="B179" s="776" t="e">
        <f t="shared" si="13"/>
        <v>#VALUE!</v>
      </c>
      <c r="C179" s="777" t="e">
        <f t="shared" si="10"/>
        <v>#VALUE!</v>
      </c>
      <c r="D179" s="777" t="e">
        <f t="shared" si="11"/>
        <v>#VALUE!</v>
      </c>
      <c r="E179" s="776" t="e">
        <f t="shared" si="14"/>
        <v>#VALUE!</v>
      </c>
      <c r="F179" s="778"/>
      <c r="G179" s="778"/>
      <c r="H179" s="776" t="e">
        <f t="shared" si="12"/>
        <v>#VALUE!</v>
      </c>
    </row>
    <row r="180" spans="1:8" ht="13.5" thickBot="1">
      <c r="A180" s="775">
        <v>164</v>
      </c>
      <c r="B180" s="776" t="e">
        <f t="shared" si="13"/>
        <v>#VALUE!</v>
      </c>
      <c r="C180" s="777" t="e">
        <f t="shared" si="10"/>
        <v>#VALUE!</v>
      </c>
      <c r="D180" s="777" t="e">
        <f t="shared" si="11"/>
        <v>#VALUE!</v>
      </c>
      <c r="E180" s="776" t="e">
        <f t="shared" si="14"/>
        <v>#VALUE!</v>
      </c>
      <c r="F180" s="778"/>
      <c r="G180" s="778"/>
      <c r="H180" s="776" t="e">
        <f t="shared" si="12"/>
        <v>#VALUE!</v>
      </c>
    </row>
    <row r="181" spans="1:8" ht="13.5" thickBot="1">
      <c r="A181" s="775">
        <v>165</v>
      </c>
      <c r="B181" s="776" t="e">
        <f t="shared" si="13"/>
        <v>#VALUE!</v>
      </c>
      <c r="C181" s="777" t="e">
        <f t="shared" si="10"/>
        <v>#VALUE!</v>
      </c>
      <c r="D181" s="777" t="e">
        <f t="shared" si="11"/>
        <v>#VALUE!</v>
      </c>
      <c r="E181" s="776" t="e">
        <f t="shared" si="14"/>
        <v>#VALUE!</v>
      </c>
      <c r="F181" s="778"/>
      <c r="G181" s="778"/>
      <c r="H181" s="776" t="e">
        <f t="shared" si="12"/>
        <v>#VALUE!</v>
      </c>
    </row>
    <row r="182" spans="1:8" ht="13.5" thickBot="1">
      <c r="A182" s="775">
        <v>166</v>
      </c>
      <c r="B182" s="776" t="e">
        <f t="shared" si="13"/>
        <v>#VALUE!</v>
      </c>
      <c r="C182" s="777" t="e">
        <f t="shared" si="10"/>
        <v>#VALUE!</v>
      </c>
      <c r="D182" s="777" t="e">
        <f t="shared" si="11"/>
        <v>#VALUE!</v>
      </c>
      <c r="E182" s="776" t="e">
        <f t="shared" si="14"/>
        <v>#VALUE!</v>
      </c>
      <c r="F182" s="778"/>
      <c r="G182" s="778"/>
      <c r="H182" s="776" t="e">
        <f t="shared" si="12"/>
        <v>#VALUE!</v>
      </c>
    </row>
    <row r="183" spans="1:8" ht="13.5" thickBot="1">
      <c r="A183" s="775">
        <v>167</v>
      </c>
      <c r="B183" s="776" t="e">
        <f t="shared" si="13"/>
        <v>#VALUE!</v>
      </c>
      <c r="C183" s="777" t="e">
        <f t="shared" si="10"/>
        <v>#VALUE!</v>
      </c>
      <c r="D183" s="777" t="e">
        <f t="shared" si="11"/>
        <v>#VALUE!</v>
      </c>
      <c r="E183" s="776" t="e">
        <f t="shared" si="14"/>
        <v>#VALUE!</v>
      </c>
      <c r="F183" s="778"/>
      <c r="G183" s="778"/>
      <c r="H183" s="776" t="e">
        <f t="shared" si="12"/>
        <v>#VALUE!</v>
      </c>
    </row>
    <row r="184" spans="1:8" ht="13.5" thickBot="1">
      <c r="A184" s="775">
        <v>168</v>
      </c>
      <c r="B184" s="776" t="e">
        <f t="shared" si="13"/>
        <v>#VALUE!</v>
      </c>
      <c r="C184" s="777" t="e">
        <f t="shared" si="10"/>
        <v>#VALUE!</v>
      </c>
      <c r="D184" s="777" t="e">
        <f t="shared" si="11"/>
        <v>#VALUE!</v>
      </c>
      <c r="E184" s="776" t="e">
        <f t="shared" si="14"/>
        <v>#VALUE!</v>
      </c>
      <c r="F184" s="778"/>
      <c r="G184" s="778"/>
      <c r="H184" s="776" t="e">
        <f t="shared" si="12"/>
        <v>#VALUE!</v>
      </c>
    </row>
    <row r="185" spans="1:8" ht="13.5" thickBot="1">
      <c r="A185" s="775">
        <v>169</v>
      </c>
      <c r="B185" s="776" t="e">
        <f t="shared" si="13"/>
        <v>#VALUE!</v>
      </c>
      <c r="C185" s="777" t="e">
        <f t="shared" si="10"/>
        <v>#VALUE!</v>
      </c>
      <c r="D185" s="777" t="e">
        <f t="shared" si="11"/>
        <v>#VALUE!</v>
      </c>
      <c r="E185" s="776" t="e">
        <f t="shared" si="14"/>
        <v>#VALUE!</v>
      </c>
      <c r="F185" s="778"/>
      <c r="G185" s="778"/>
      <c r="H185" s="776" t="e">
        <f t="shared" si="12"/>
        <v>#VALUE!</v>
      </c>
    </row>
    <row r="186" spans="1:8" ht="13.5" thickBot="1">
      <c r="A186" s="775">
        <v>170</v>
      </c>
      <c r="B186" s="776" t="e">
        <f t="shared" si="13"/>
        <v>#VALUE!</v>
      </c>
      <c r="C186" s="777" t="e">
        <f t="shared" si="10"/>
        <v>#VALUE!</v>
      </c>
      <c r="D186" s="777" t="e">
        <f t="shared" si="11"/>
        <v>#VALUE!</v>
      </c>
      <c r="E186" s="776" t="e">
        <f t="shared" si="14"/>
        <v>#VALUE!</v>
      </c>
      <c r="F186" s="778"/>
      <c r="G186" s="778"/>
      <c r="H186" s="776" t="e">
        <f t="shared" si="12"/>
        <v>#VALUE!</v>
      </c>
    </row>
    <row r="187" spans="1:8" ht="13.5" thickBot="1">
      <c r="A187" s="775">
        <v>171</v>
      </c>
      <c r="B187" s="776" t="e">
        <f t="shared" si="13"/>
        <v>#VALUE!</v>
      </c>
      <c r="C187" s="777" t="e">
        <f t="shared" si="10"/>
        <v>#VALUE!</v>
      </c>
      <c r="D187" s="777" t="e">
        <f t="shared" si="11"/>
        <v>#VALUE!</v>
      </c>
      <c r="E187" s="776" t="e">
        <f t="shared" si="14"/>
        <v>#VALUE!</v>
      </c>
      <c r="F187" s="778"/>
      <c r="G187" s="778"/>
      <c r="H187" s="776" t="e">
        <f t="shared" si="12"/>
        <v>#VALUE!</v>
      </c>
    </row>
    <row r="188" spans="1:8" ht="13.5" thickBot="1">
      <c r="A188" s="775">
        <v>172</v>
      </c>
      <c r="B188" s="776" t="e">
        <f t="shared" si="13"/>
        <v>#VALUE!</v>
      </c>
      <c r="C188" s="777" t="e">
        <f t="shared" si="10"/>
        <v>#VALUE!</v>
      </c>
      <c r="D188" s="777" t="e">
        <f t="shared" si="11"/>
        <v>#VALUE!</v>
      </c>
      <c r="E188" s="776" t="e">
        <f t="shared" si="14"/>
        <v>#VALUE!</v>
      </c>
      <c r="F188" s="778"/>
      <c r="G188" s="778"/>
      <c r="H188" s="776" t="e">
        <f t="shared" si="12"/>
        <v>#VALUE!</v>
      </c>
    </row>
    <row r="189" spans="1:8" ht="13.5" thickBot="1">
      <c r="A189" s="775">
        <v>173</v>
      </c>
      <c r="B189" s="776" t="e">
        <f t="shared" si="13"/>
        <v>#VALUE!</v>
      </c>
      <c r="C189" s="777" t="e">
        <f t="shared" si="10"/>
        <v>#VALUE!</v>
      </c>
      <c r="D189" s="777" t="e">
        <f t="shared" si="11"/>
        <v>#VALUE!</v>
      </c>
      <c r="E189" s="776" t="e">
        <f t="shared" si="14"/>
        <v>#VALUE!</v>
      </c>
      <c r="F189" s="778"/>
      <c r="G189" s="778"/>
      <c r="H189" s="776" t="e">
        <f t="shared" si="12"/>
        <v>#VALUE!</v>
      </c>
    </row>
    <row r="190" spans="1:8" ht="13.5" thickBot="1">
      <c r="A190" s="775">
        <v>174</v>
      </c>
      <c r="B190" s="776" t="e">
        <f t="shared" si="13"/>
        <v>#VALUE!</v>
      </c>
      <c r="C190" s="777" t="e">
        <f t="shared" si="10"/>
        <v>#VALUE!</v>
      </c>
      <c r="D190" s="777" t="e">
        <f t="shared" si="11"/>
        <v>#VALUE!</v>
      </c>
      <c r="E190" s="776" t="e">
        <f t="shared" si="14"/>
        <v>#VALUE!</v>
      </c>
      <c r="F190" s="778"/>
      <c r="G190" s="778"/>
      <c r="H190" s="776" t="e">
        <f t="shared" si="12"/>
        <v>#VALUE!</v>
      </c>
    </row>
    <row r="191" spans="1:8" ht="13.5" thickBot="1">
      <c r="A191" s="775">
        <v>175</v>
      </c>
      <c r="B191" s="776" t="e">
        <f t="shared" si="13"/>
        <v>#VALUE!</v>
      </c>
      <c r="C191" s="777" t="e">
        <f t="shared" si="10"/>
        <v>#VALUE!</v>
      </c>
      <c r="D191" s="777" t="e">
        <f t="shared" si="11"/>
        <v>#VALUE!</v>
      </c>
      <c r="E191" s="776" t="e">
        <f t="shared" si="14"/>
        <v>#VALUE!</v>
      </c>
      <c r="F191" s="778"/>
      <c r="G191" s="778"/>
      <c r="H191" s="776" t="e">
        <f t="shared" si="12"/>
        <v>#VALUE!</v>
      </c>
    </row>
    <row r="192" spans="1:8" ht="13.5" thickBot="1">
      <c r="A192" s="775">
        <v>176</v>
      </c>
      <c r="B192" s="776" t="e">
        <f t="shared" si="13"/>
        <v>#VALUE!</v>
      </c>
      <c r="C192" s="777" t="e">
        <f t="shared" si="10"/>
        <v>#VALUE!</v>
      </c>
      <c r="D192" s="777" t="e">
        <f t="shared" si="11"/>
        <v>#VALUE!</v>
      </c>
      <c r="E192" s="776" t="e">
        <f t="shared" si="14"/>
        <v>#VALUE!</v>
      </c>
      <c r="F192" s="778"/>
      <c r="G192" s="778"/>
      <c r="H192" s="776" t="e">
        <f t="shared" si="12"/>
        <v>#VALUE!</v>
      </c>
    </row>
    <row r="193" spans="1:8" ht="13.5" thickBot="1">
      <c r="A193" s="775">
        <v>177</v>
      </c>
      <c r="B193" s="776" t="e">
        <f t="shared" si="13"/>
        <v>#VALUE!</v>
      </c>
      <c r="C193" s="777" t="e">
        <f t="shared" si="10"/>
        <v>#VALUE!</v>
      </c>
      <c r="D193" s="777" t="e">
        <f t="shared" si="11"/>
        <v>#VALUE!</v>
      </c>
      <c r="E193" s="776" t="e">
        <f t="shared" si="14"/>
        <v>#VALUE!</v>
      </c>
      <c r="F193" s="778"/>
      <c r="G193" s="778"/>
      <c r="H193" s="776" t="e">
        <f t="shared" si="12"/>
        <v>#VALUE!</v>
      </c>
    </row>
    <row r="194" spans="1:8" ht="13.5" thickBot="1">
      <c r="A194" s="775">
        <v>178</v>
      </c>
      <c r="B194" s="776" t="e">
        <f t="shared" si="13"/>
        <v>#VALUE!</v>
      </c>
      <c r="C194" s="777" t="e">
        <f t="shared" si="10"/>
        <v>#VALUE!</v>
      </c>
      <c r="D194" s="777" t="e">
        <f t="shared" si="11"/>
        <v>#VALUE!</v>
      </c>
      <c r="E194" s="776" t="e">
        <f t="shared" si="14"/>
        <v>#VALUE!</v>
      </c>
      <c r="F194" s="778"/>
      <c r="G194" s="778"/>
      <c r="H194" s="776" t="e">
        <f t="shared" si="12"/>
        <v>#VALUE!</v>
      </c>
    </row>
    <row r="195" spans="1:8" ht="13.5" thickBot="1">
      <c r="A195" s="775">
        <v>179</v>
      </c>
      <c r="B195" s="776" t="e">
        <f t="shared" si="13"/>
        <v>#VALUE!</v>
      </c>
      <c r="C195" s="777" t="e">
        <f t="shared" si="10"/>
        <v>#VALUE!</v>
      </c>
      <c r="D195" s="777" t="e">
        <f t="shared" si="11"/>
        <v>#VALUE!</v>
      </c>
      <c r="E195" s="776" t="e">
        <f t="shared" si="14"/>
        <v>#VALUE!</v>
      </c>
      <c r="F195" s="778"/>
      <c r="G195" s="778"/>
      <c r="H195" s="776" t="e">
        <f t="shared" si="12"/>
        <v>#VALUE!</v>
      </c>
    </row>
    <row r="196" spans="1:8" ht="13.5" thickBot="1">
      <c r="A196" s="775">
        <v>180</v>
      </c>
      <c r="B196" s="776" t="e">
        <f t="shared" si="13"/>
        <v>#VALUE!</v>
      </c>
      <c r="C196" s="777" t="e">
        <f t="shared" si="10"/>
        <v>#VALUE!</v>
      </c>
      <c r="D196" s="777" t="e">
        <f t="shared" si="11"/>
        <v>#VALUE!</v>
      </c>
      <c r="E196" s="776" t="e">
        <f t="shared" si="14"/>
        <v>#VALUE!</v>
      </c>
      <c r="F196" s="778"/>
      <c r="G196" s="778"/>
      <c r="H196" s="776" t="e">
        <f t="shared" si="12"/>
        <v>#VALUE!</v>
      </c>
    </row>
    <row r="197" spans="1:8" ht="13.5" thickBot="1">
      <c r="A197" s="775">
        <v>181</v>
      </c>
      <c r="B197" s="776" t="e">
        <f t="shared" si="13"/>
        <v>#VALUE!</v>
      </c>
      <c r="C197" s="777" t="e">
        <f t="shared" si="10"/>
        <v>#VALUE!</v>
      </c>
      <c r="D197" s="777" t="e">
        <f t="shared" si="11"/>
        <v>#VALUE!</v>
      </c>
      <c r="E197" s="776" t="e">
        <f t="shared" si="14"/>
        <v>#VALUE!</v>
      </c>
      <c r="F197" s="778"/>
      <c r="G197" s="778"/>
      <c r="H197" s="776" t="e">
        <f>IF($B197-$D197&gt;0,$B197-$D197,0)</f>
        <v>#VALUE!</v>
      </c>
    </row>
    <row r="198" spans="1:8" ht="13.5" thickBot="1">
      <c r="A198" s="775">
        <v>182</v>
      </c>
      <c r="B198" s="776" t="e">
        <f>IF(H197&gt;0,H197,0)</f>
        <v>#VALUE!</v>
      </c>
      <c r="C198" s="777" t="e">
        <f t="shared" si="10"/>
        <v>#VALUE!</v>
      </c>
      <c r="D198" s="777" t="e">
        <f t="shared" si="11"/>
        <v>#VALUE!</v>
      </c>
      <c r="E198" s="776" t="e">
        <f t="shared" si="14"/>
        <v>#VALUE!</v>
      </c>
      <c r="F198" s="778"/>
      <c r="G198" s="778"/>
      <c r="H198" s="776" t="e">
        <f t="shared" ref="H198:H256" si="15">IF($B198-$D198&gt;0,$B198-$D198,0)</f>
        <v>#VALUE!</v>
      </c>
    </row>
    <row r="199" spans="1:8" ht="13.5" thickBot="1">
      <c r="A199" s="775">
        <v>183</v>
      </c>
      <c r="B199" s="776" t="e">
        <f t="shared" si="13"/>
        <v>#VALUE!</v>
      </c>
      <c r="C199" s="777" t="e">
        <f t="shared" si="10"/>
        <v>#VALUE!</v>
      </c>
      <c r="D199" s="777" t="e">
        <f t="shared" si="11"/>
        <v>#VALUE!</v>
      </c>
      <c r="E199" s="776" t="e">
        <f t="shared" si="14"/>
        <v>#VALUE!</v>
      </c>
      <c r="F199" s="778"/>
      <c r="G199" s="778"/>
      <c r="H199" s="776" t="e">
        <f t="shared" si="15"/>
        <v>#VALUE!</v>
      </c>
    </row>
    <row r="200" spans="1:8" ht="13.5" thickBot="1">
      <c r="A200" s="775">
        <v>184</v>
      </c>
      <c r="B200" s="776" t="e">
        <f t="shared" si="13"/>
        <v>#VALUE!</v>
      </c>
      <c r="C200" s="777" t="e">
        <f t="shared" si="10"/>
        <v>#VALUE!</v>
      </c>
      <c r="D200" s="777" t="e">
        <f t="shared" si="11"/>
        <v>#VALUE!</v>
      </c>
      <c r="E200" s="776" t="e">
        <f t="shared" si="14"/>
        <v>#VALUE!</v>
      </c>
      <c r="F200" s="778"/>
      <c r="G200" s="778"/>
      <c r="H200" s="776" t="e">
        <f t="shared" si="15"/>
        <v>#VALUE!</v>
      </c>
    </row>
    <row r="201" spans="1:8" ht="13.5" thickBot="1">
      <c r="A201" s="775">
        <v>185</v>
      </c>
      <c r="B201" s="776" t="e">
        <f t="shared" si="13"/>
        <v>#VALUE!</v>
      </c>
      <c r="C201" s="777" t="e">
        <f t="shared" si="10"/>
        <v>#VALUE!</v>
      </c>
      <c r="D201" s="777" t="e">
        <f t="shared" si="11"/>
        <v>#VALUE!</v>
      </c>
      <c r="E201" s="776" t="e">
        <f t="shared" si="14"/>
        <v>#VALUE!</v>
      </c>
      <c r="F201" s="778"/>
      <c r="G201" s="778"/>
      <c r="H201" s="776" t="e">
        <f t="shared" si="15"/>
        <v>#VALUE!</v>
      </c>
    </row>
    <row r="202" spans="1:8" ht="13.5" thickBot="1">
      <c r="A202" s="775">
        <v>186</v>
      </c>
      <c r="B202" s="776" t="e">
        <f t="shared" si="13"/>
        <v>#VALUE!</v>
      </c>
      <c r="C202" s="777" t="e">
        <f t="shared" si="10"/>
        <v>#VALUE!</v>
      </c>
      <c r="D202" s="777" t="e">
        <f t="shared" si="11"/>
        <v>#VALUE!</v>
      </c>
      <c r="E202" s="776" t="e">
        <f t="shared" si="14"/>
        <v>#VALUE!</v>
      </c>
      <c r="F202" s="778"/>
      <c r="G202" s="778"/>
      <c r="H202" s="776" t="e">
        <f t="shared" si="15"/>
        <v>#VALUE!</v>
      </c>
    </row>
    <row r="203" spans="1:8" ht="13.5" thickBot="1">
      <c r="A203" s="775">
        <v>187</v>
      </c>
      <c r="B203" s="776" t="e">
        <f t="shared" si="13"/>
        <v>#VALUE!</v>
      </c>
      <c r="C203" s="777" t="e">
        <f t="shared" si="10"/>
        <v>#VALUE!</v>
      </c>
      <c r="D203" s="777" t="e">
        <f t="shared" si="11"/>
        <v>#VALUE!</v>
      </c>
      <c r="E203" s="776" t="e">
        <f t="shared" si="14"/>
        <v>#VALUE!</v>
      </c>
      <c r="F203" s="778"/>
      <c r="G203" s="778"/>
      <c r="H203" s="776" t="e">
        <f t="shared" si="15"/>
        <v>#VALUE!</v>
      </c>
    </row>
    <row r="204" spans="1:8" ht="13.5" thickBot="1">
      <c r="A204" s="775">
        <v>188</v>
      </c>
      <c r="B204" s="776" t="e">
        <f t="shared" si="13"/>
        <v>#VALUE!</v>
      </c>
      <c r="C204" s="777" t="e">
        <f t="shared" si="10"/>
        <v>#VALUE!</v>
      </c>
      <c r="D204" s="777" t="e">
        <f t="shared" si="11"/>
        <v>#VALUE!</v>
      </c>
      <c r="E204" s="776" t="e">
        <f t="shared" si="14"/>
        <v>#VALUE!</v>
      </c>
      <c r="F204" s="778"/>
      <c r="G204" s="778"/>
      <c r="H204" s="776" t="e">
        <f t="shared" si="15"/>
        <v>#VALUE!</v>
      </c>
    </row>
    <row r="205" spans="1:8" ht="13.5" thickBot="1">
      <c r="A205" s="775">
        <v>189</v>
      </c>
      <c r="B205" s="776" t="e">
        <f t="shared" si="13"/>
        <v>#VALUE!</v>
      </c>
      <c r="C205" s="777" t="e">
        <f t="shared" si="10"/>
        <v>#VALUE!</v>
      </c>
      <c r="D205" s="777" t="e">
        <f t="shared" si="11"/>
        <v>#VALUE!</v>
      </c>
      <c r="E205" s="776" t="e">
        <f t="shared" si="14"/>
        <v>#VALUE!</v>
      </c>
      <c r="F205" s="778"/>
      <c r="G205" s="778"/>
      <c r="H205" s="776" t="e">
        <f t="shared" si="15"/>
        <v>#VALUE!</v>
      </c>
    </row>
    <row r="206" spans="1:8" ht="13.5" thickBot="1">
      <c r="A206" s="775">
        <v>190</v>
      </c>
      <c r="B206" s="776" t="e">
        <f t="shared" si="13"/>
        <v>#VALUE!</v>
      </c>
      <c r="C206" s="777" t="e">
        <f t="shared" si="10"/>
        <v>#VALUE!</v>
      </c>
      <c r="D206" s="777" t="e">
        <f t="shared" si="11"/>
        <v>#VALUE!</v>
      </c>
      <c r="E206" s="776" t="e">
        <f t="shared" si="14"/>
        <v>#VALUE!</v>
      </c>
      <c r="F206" s="778"/>
      <c r="G206" s="778"/>
      <c r="H206" s="776" t="e">
        <f t="shared" si="15"/>
        <v>#VALUE!</v>
      </c>
    </row>
    <row r="207" spans="1:8" ht="13.5" thickBot="1">
      <c r="A207" s="775">
        <v>191</v>
      </c>
      <c r="B207" s="776" t="e">
        <f t="shared" si="13"/>
        <v>#VALUE!</v>
      </c>
      <c r="C207" s="777" t="e">
        <f t="shared" si="10"/>
        <v>#VALUE!</v>
      </c>
      <c r="D207" s="777" t="e">
        <f t="shared" si="11"/>
        <v>#VALUE!</v>
      </c>
      <c r="E207" s="776" t="e">
        <f t="shared" si="14"/>
        <v>#VALUE!</v>
      </c>
      <c r="F207" s="778"/>
      <c r="G207" s="778"/>
      <c r="H207" s="776" t="e">
        <f t="shared" si="15"/>
        <v>#VALUE!</v>
      </c>
    </row>
    <row r="208" spans="1:8" ht="13.5" thickBot="1">
      <c r="A208" s="775">
        <v>192</v>
      </c>
      <c r="B208" s="776" t="e">
        <f t="shared" si="13"/>
        <v>#VALUE!</v>
      </c>
      <c r="C208" s="777" t="e">
        <f t="shared" si="10"/>
        <v>#VALUE!</v>
      </c>
      <c r="D208" s="777" t="e">
        <f t="shared" si="11"/>
        <v>#VALUE!</v>
      </c>
      <c r="E208" s="776" t="e">
        <f t="shared" si="14"/>
        <v>#VALUE!</v>
      </c>
      <c r="F208" s="778"/>
      <c r="G208" s="778"/>
      <c r="H208" s="776" t="e">
        <f t="shared" si="15"/>
        <v>#VALUE!</v>
      </c>
    </row>
    <row r="209" spans="1:8" ht="13.5" thickBot="1">
      <c r="A209" s="775">
        <v>193</v>
      </c>
      <c r="B209" s="776" t="e">
        <f t="shared" si="13"/>
        <v>#VALUE!</v>
      </c>
      <c r="C209" s="777" t="e">
        <f t="shared" si="10"/>
        <v>#VALUE!</v>
      </c>
      <c r="D209" s="777" t="e">
        <f t="shared" si="11"/>
        <v>#VALUE!</v>
      </c>
      <c r="E209" s="776" t="e">
        <f t="shared" si="14"/>
        <v>#VALUE!</v>
      </c>
      <c r="F209" s="778"/>
      <c r="G209" s="778"/>
      <c r="H209" s="776" t="e">
        <f t="shared" si="15"/>
        <v>#VALUE!</v>
      </c>
    </row>
    <row r="210" spans="1:8" ht="13.5" thickBot="1">
      <c r="A210" s="775">
        <v>194</v>
      </c>
      <c r="B210" s="776" t="e">
        <f t="shared" si="13"/>
        <v>#VALUE!</v>
      </c>
      <c r="C210" s="777" t="e">
        <f t="shared" ref="C210:C256" si="16">$B$14</f>
        <v>#VALUE!</v>
      </c>
      <c r="D210" s="777" t="e">
        <f t="shared" ref="D210:D256" si="17">$C210-$E210</f>
        <v>#VALUE!</v>
      </c>
      <c r="E210" s="776" t="e">
        <f t="shared" si="14"/>
        <v>#VALUE!</v>
      </c>
      <c r="F210" s="778"/>
      <c r="G210" s="778"/>
      <c r="H210" s="776" t="e">
        <f t="shared" si="15"/>
        <v>#VALUE!</v>
      </c>
    </row>
    <row r="211" spans="1:8" ht="13.5" thickBot="1">
      <c r="A211" s="775">
        <v>195</v>
      </c>
      <c r="B211" s="776" t="e">
        <f t="shared" ref="B211:B256" si="18">H210</f>
        <v>#VALUE!</v>
      </c>
      <c r="C211" s="777" t="e">
        <f t="shared" si="16"/>
        <v>#VALUE!</v>
      </c>
      <c r="D211" s="777" t="e">
        <f t="shared" si="17"/>
        <v>#VALUE!</v>
      </c>
      <c r="E211" s="776" t="e">
        <f t="shared" si="14"/>
        <v>#VALUE!</v>
      </c>
      <c r="F211" s="778"/>
      <c r="G211" s="778"/>
      <c r="H211" s="776" t="e">
        <f t="shared" si="15"/>
        <v>#VALUE!</v>
      </c>
    </row>
    <row r="212" spans="1:8" ht="13.5" thickBot="1">
      <c r="A212" s="775">
        <v>196</v>
      </c>
      <c r="B212" s="776" t="e">
        <f t="shared" si="18"/>
        <v>#VALUE!</v>
      </c>
      <c r="C212" s="777" t="e">
        <f t="shared" si="16"/>
        <v>#VALUE!</v>
      </c>
      <c r="D212" s="777" t="e">
        <f t="shared" si="17"/>
        <v>#VALUE!</v>
      </c>
      <c r="E212" s="776" t="e">
        <f t="shared" si="14"/>
        <v>#VALUE!</v>
      </c>
      <c r="F212" s="778"/>
      <c r="G212" s="778"/>
      <c r="H212" s="776" t="e">
        <f t="shared" si="15"/>
        <v>#VALUE!</v>
      </c>
    </row>
    <row r="213" spans="1:8" ht="13.5" thickBot="1">
      <c r="A213" s="775">
        <v>197</v>
      </c>
      <c r="B213" s="776" t="e">
        <f t="shared" si="18"/>
        <v>#VALUE!</v>
      </c>
      <c r="C213" s="777" t="e">
        <f t="shared" si="16"/>
        <v>#VALUE!</v>
      </c>
      <c r="D213" s="777" t="e">
        <f t="shared" si="17"/>
        <v>#VALUE!</v>
      </c>
      <c r="E213" s="776" t="e">
        <f t="shared" si="14"/>
        <v>#VALUE!</v>
      </c>
      <c r="F213" s="778"/>
      <c r="G213" s="778"/>
      <c r="H213" s="776" t="e">
        <f t="shared" si="15"/>
        <v>#VALUE!</v>
      </c>
    </row>
    <row r="214" spans="1:8" ht="13.5" thickBot="1">
      <c r="A214" s="775">
        <v>198</v>
      </c>
      <c r="B214" s="776" t="e">
        <f t="shared" si="18"/>
        <v>#VALUE!</v>
      </c>
      <c r="C214" s="777" t="e">
        <f t="shared" si="16"/>
        <v>#VALUE!</v>
      </c>
      <c r="D214" s="777" t="e">
        <f t="shared" si="17"/>
        <v>#VALUE!</v>
      </c>
      <c r="E214" s="776" t="e">
        <f t="shared" ref="E214:E256" si="19">IF($B214*$B$5&gt;0,$B214*$B$5,0)</f>
        <v>#VALUE!</v>
      </c>
      <c r="F214" s="778"/>
      <c r="G214" s="778"/>
      <c r="H214" s="776" t="e">
        <f t="shared" si="15"/>
        <v>#VALUE!</v>
      </c>
    </row>
    <row r="215" spans="1:8" ht="13.5" thickBot="1">
      <c r="A215" s="775">
        <v>199</v>
      </c>
      <c r="B215" s="776" t="e">
        <f t="shared" si="18"/>
        <v>#VALUE!</v>
      </c>
      <c r="C215" s="777" t="e">
        <f t="shared" si="16"/>
        <v>#VALUE!</v>
      </c>
      <c r="D215" s="777" t="e">
        <f t="shared" si="17"/>
        <v>#VALUE!</v>
      </c>
      <c r="E215" s="776" t="e">
        <f t="shared" si="19"/>
        <v>#VALUE!</v>
      </c>
      <c r="F215" s="778"/>
      <c r="G215" s="778"/>
      <c r="H215" s="776" t="e">
        <f t="shared" si="15"/>
        <v>#VALUE!</v>
      </c>
    </row>
    <row r="216" spans="1:8" ht="13.5" thickBot="1">
      <c r="A216" s="775">
        <v>200</v>
      </c>
      <c r="B216" s="776" t="e">
        <f t="shared" si="18"/>
        <v>#VALUE!</v>
      </c>
      <c r="C216" s="777" t="e">
        <f t="shared" si="16"/>
        <v>#VALUE!</v>
      </c>
      <c r="D216" s="777" t="e">
        <f t="shared" si="17"/>
        <v>#VALUE!</v>
      </c>
      <c r="E216" s="776" t="e">
        <f t="shared" si="19"/>
        <v>#VALUE!</v>
      </c>
      <c r="F216" s="778"/>
      <c r="G216" s="778"/>
      <c r="H216" s="776" t="e">
        <f t="shared" si="15"/>
        <v>#VALUE!</v>
      </c>
    </row>
    <row r="217" spans="1:8" ht="13.5" thickBot="1">
      <c r="A217" s="775">
        <v>201</v>
      </c>
      <c r="B217" s="776" t="e">
        <f t="shared" si="18"/>
        <v>#VALUE!</v>
      </c>
      <c r="C217" s="777" t="e">
        <f t="shared" si="16"/>
        <v>#VALUE!</v>
      </c>
      <c r="D217" s="777" t="e">
        <f t="shared" si="17"/>
        <v>#VALUE!</v>
      </c>
      <c r="E217" s="776" t="e">
        <f t="shared" si="19"/>
        <v>#VALUE!</v>
      </c>
      <c r="F217" s="778"/>
      <c r="G217" s="778"/>
      <c r="H217" s="776" t="e">
        <f t="shared" si="15"/>
        <v>#VALUE!</v>
      </c>
    </row>
    <row r="218" spans="1:8" ht="13.5" thickBot="1">
      <c r="A218" s="775">
        <v>202</v>
      </c>
      <c r="B218" s="776" t="e">
        <f t="shared" si="18"/>
        <v>#VALUE!</v>
      </c>
      <c r="C218" s="777" t="e">
        <f t="shared" si="16"/>
        <v>#VALUE!</v>
      </c>
      <c r="D218" s="777" t="e">
        <f t="shared" si="17"/>
        <v>#VALUE!</v>
      </c>
      <c r="E218" s="776" t="e">
        <f t="shared" si="19"/>
        <v>#VALUE!</v>
      </c>
      <c r="F218" s="778"/>
      <c r="G218" s="778"/>
      <c r="H218" s="776" t="e">
        <f t="shared" si="15"/>
        <v>#VALUE!</v>
      </c>
    </row>
    <row r="219" spans="1:8" ht="13.5" thickBot="1">
      <c r="A219" s="775">
        <v>203</v>
      </c>
      <c r="B219" s="776" t="e">
        <f t="shared" si="18"/>
        <v>#VALUE!</v>
      </c>
      <c r="C219" s="777" t="e">
        <f t="shared" si="16"/>
        <v>#VALUE!</v>
      </c>
      <c r="D219" s="777" t="e">
        <f t="shared" si="17"/>
        <v>#VALUE!</v>
      </c>
      <c r="E219" s="776" t="e">
        <f t="shared" si="19"/>
        <v>#VALUE!</v>
      </c>
      <c r="F219" s="778"/>
      <c r="G219" s="778"/>
      <c r="H219" s="776" t="e">
        <f t="shared" si="15"/>
        <v>#VALUE!</v>
      </c>
    </row>
    <row r="220" spans="1:8" ht="13.5" thickBot="1">
      <c r="A220" s="775">
        <v>204</v>
      </c>
      <c r="B220" s="776" t="e">
        <f t="shared" si="18"/>
        <v>#VALUE!</v>
      </c>
      <c r="C220" s="777" t="e">
        <f t="shared" si="16"/>
        <v>#VALUE!</v>
      </c>
      <c r="D220" s="777" t="e">
        <f t="shared" si="17"/>
        <v>#VALUE!</v>
      </c>
      <c r="E220" s="776" t="e">
        <f t="shared" si="19"/>
        <v>#VALUE!</v>
      </c>
      <c r="F220" s="778"/>
      <c r="G220" s="778"/>
      <c r="H220" s="776" t="e">
        <f t="shared" si="15"/>
        <v>#VALUE!</v>
      </c>
    </row>
    <row r="221" spans="1:8" ht="13.5" thickBot="1">
      <c r="A221" s="775">
        <v>205</v>
      </c>
      <c r="B221" s="776" t="e">
        <f t="shared" si="18"/>
        <v>#VALUE!</v>
      </c>
      <c r="C221" s="777" t="e">
        <f t="shared" si="16"/>
        <v>#VALUE!</v>
      </c>
      <c r="D221" s="777" t="e">
        <f t="shared" si="17"/>
        <v>#VALUE!</v>
      </c>
      <c r="E221" s="776" t="e">
        <f t="shared" si="19"/>
        <v>#VALUE!</v>
      </c>
      <c r="F221" s="778"/>
      <c r="G221" s="778"/>
      <c r="H221" s="776" t="e">
        <f t="shared" si="15"/>
        <v>#VALUE!</v>
      </c>
    </row>
    <row r="222" spans="1:8" ht="13.5" thickBot="1">
      <c r="A222" s="775">
        <v>206</v>
      </c>
      <c r="B222" s="776" t="e">
        <f t="shared" si="18"/>
        <v>#VALUE!</v>
      </c>
      <c r="C222" s="777" t="e">
        <f t="shared" si="16"/>
        <v>#VALUE!</v>
      </c>
      <c r="D222" s="777" t="e">
        <f t="shared" si="17"/>
        <v>#VALUE!</v>
      </c>
      <c r="E222" s="776" t="e">
        <f t="shared" si="19"/>
        <v>#VALUE!</v>
      </c>
      <c r="F222" s="778"/>
      <c r="G222" s="778"/>
      <c r="H222" s="776" t="e">
        <f t="shared" si="15"/>
        <v>#VALUE!</v>
      </c>
    </row>
    <row r="223" spans="1:8" ht="13.5" thickBot="1">
      <c r="A223" s="775">
        <v>207</v>
      </c>
      <c r="B223" s="776" t="e">
        <f t="shared" si="18"/>
        <v>#VALUE!</v>
      </c>
      <c r="C223" s="777" t="e">
        <f t="shared" si="16"/>
        <v>#VALUE!</v>
      </c>
      <c r="D223" s="777" t="e">
        <f t="shared" si="17"/>
        <v>#VALUE!</v>
      </c>
      <c r="E223" s="776" t="e">
        <f t="shared" si="19"/>
        <v>#VALUE!</v>
      </c>
      <c r="F223" s="778"/>
      <c r="G223" s="778"/>
      <c r="H223" s="776" t="e">
        <f t="shared" si="15"/>
        <v>#VALUE!</v>
      </c>
    </row>
    <row r="224" spans="1:8" ht="13.5" thickBot="1">
      <c r="A224" s="775">
        <v>208</v>
      </c>
      <c r="B224" s="776" t="e">
        <f t="shared" si="18"/>
        <v>#VALUE!</v>
      </c>
      <c r="C224" s="777" t="e">
        <f t="shared" si="16"/>
        <v>#VALUE!</v>
      </c>
      <c r="D224" s="777" t="e">
        <f t="shared" si="17"/>
        <v>#VALUE!</v>
      </c>
      <c r="E224" s="776" t="e">
        <f t="shared" si="19"/>
        <v>#VALUE!</v>
      </c>
      <c r="F224" s="778"/>
      <c r="G224" s="778"/>
      <c r="H224" s="776" t="e">
        <f t="shared" si="15"/>
        <v>#VALUE!</v>
      </c>
    </row>
    <row r="225" spans="1:8" ht="13.5" thickBot="1">
      <c r="A225" s="775">
        <v>209</v>
      </c>
      <c r="B225" s="776" t="e">
        <f t="shared" si="18"/>
        <v>#VALUE!</v>
      </c>
      <c r="C225" s="777" t="e">
        <f t="shared" si="16"/>
        <v>#VALUE!</v>
      </c>
      <c r="D225" s="777" t="e">
        <f t="shared" si="17"/>
        <v>#VALUE!</v>
      </c>
      <c r="E225" s="776" t="e">
        <f t="shared" si="19"/>
        <v>#VALUE!</v>
      </c>
      <c r="F225" s="778"/>
      <c r="G225" s="778"/>
      <c r="H225" s="776" t="e">
        <f t="shared" si="15"/>
        <v>#VALUE!</v>
      </c>
    </row>
    <row r="226" spans="1:8" ht="13.5" thickBot="1">
      <c r="A226" s="775">
        <v>210</v>
      </c>
      <c r="B226" s="776" t="e">
        <f t="shared" si="18"/>
        <v>#VALUE!</v>
      </c>
      <c r="C226" s="777" t="e">
        <f t="shared" si="16"/>
        <v>#VALUE!</v>
      </c>
      <c r="D226" s="777" t="e">
        <f t="shared" si="17"/>
        <v>#VALUE!</v>
      </c>
      <c r="E226" s="776" t="e">
        <f t="shared" si="19"/>
        <v>#VALUE!</v>
      </c>
      <c r="F226" s="778"/>
      <c r="G226" s="778"/>
      <c r="H226" s="776" t="e">
        <f t="shared" si="15"/>
        <v>#VALUE!</v>
      </c>
    </row>
    <row r="227" spans="1:8" ht="13.5" thickBot="1">
      <c r="A227" s="775">
        <v>211</v>
      </c>
      <c r="B227" s="776" t="e">
        <f t="shared" si="18"/>
        <v>#VALUE!</v>
      </c>
      <c r="C227" s="777" t="e">
        <f t="shared" si="16"/>
        <v>#VALUE!</v>
      </c>
      <c r="D227" s="777" t="e">
        <f t="shared" si="17"/>
        <v>#VALUE!</v>
      </c>
      <c r="E227" s="776" t="e">
        <f t="shared" si="19"/>
        <v>#VALUE!</v>
      </c>
      <c r="F227" s="778"/>
      <c r="G227" s="778"/>
      <c r="H227" s="776" t="e">
        <f t="shared" si="15"/>
        <v>#VALUE!</v>
      </c>
    </row>
    <row r="228" spans="1:8" ht="13.5" thickBot="1">
      <c r="A228" s="775">
        <v>212</v>
      </c>
      <c r="B228" s="776" t="e">
        <f t="shared" si="18"/>
        <v>#VALUE!</v>
      </c>
      <c r="C228" s="777" t="e">
        <f t="shared" si="16"/>
        <v>#VALUE!</v>
      </c>
      <c r="D228" s="777" t="e">
        <f t="shared" si="17"/>
        <v>#VALUE!</v>
      </c>
      <c r="E228" s="776" t="e">
        <f t="shared" si="19"/>
        <v>#VALUE!</v>
      </c>
      <c r="F228" s="778"/>
      <c r="G228" s="778"/>
      <c r="H228" s="776" t="e">
        <f t="shared" si="15"/>
        <v>#VALUE!</v>
      </c>
    </row>
    <row r="229" spans="1:8" ht="13.5" thickBot="1">
      <c r="A229" s="775">
        <v>213</v>
      </c>
      <c r="B229" s="776" t="e">
        <f t="shared" si="18"/>
        <v>#VALUE!</v>
      </c>
      <c r="C229" s="777" t="e">
        <f t="shared" si="16"/>
        <v>#VALUE!</v>
      </c>
      <c r="D229" s="777" t="e">
        <f t="shared" si="17"/>
        <v>#VALUE!</v>
      </c>
      <c r="E229" s="776" t="e">
        <f t="shared" si="19"/>
        <v>#VALUE!</v>
      </c>
      <c r="F229" s="778"/>
      <c r="G229" s="778"/>
      <c r="H229" s="776" t="e">
        <f t="shared" si="15"/>
        <v>#VALUE!</v>
      </c>
    </row>
    <row r="230" spans="1:8" ht="13.5" thickBot="1">
      <c r="A230" s="775">
        <v>214</v>
      </c>
      <c r="B230" s="776" t="e">
        <f t="shared" si="18"/>
        <v>#VALUE!</v>
      </c>
      <c r="C230" s="777" t="e">
        <f t="shared" si="16"/>
        <v>#VALUE!</v>
      </c>
      <c r="D230" s="777" t="e">
        <f t="shared" si="17"/>
        <v>#VALUE!</v>
      </c>
      <c r="E230" s="776" t="e">
        <f t="shared" si="19"/>
        <v>#VALUE!</v>
      </c>
      <c r="F230" s="778"/>
      <c r="G230" s="778"/>
      <c r="H230" s="776" t="e">
        <f t="shared" si="15"/>
        <v>#VALUE!</v>
      </c>
    </row>
    <row r="231" spans="1:8" ht="13.5" thickBot="1">
      <c r="A231" s="775">
        <v>215</v>
      </c>
      <c r="B231" s="776" t="e">
        <f t="shared" si="18"/>
        <v>#VALUE!</v>
      </c>
      <c r="C231" s="777" t="e">
        <f t="shared" si="16"/>
        <v>#VALUE!</v>
      </c>
      <c r="D231" s="777" t="e">
        <f t="shared" si="17"/>
        <v>#VALUE!</v>
      </c>
      <c r="E231" s="776" t="e">
        <f t="shared" si="19"/>
        <v>#VALUE!</v>
      </c>
      <c r="F231" s="778"/>
      <c r="G231" s="778"/>
      <c r="H231" s="776" t="e">
        <f t="shared" si="15"/>
        <v>#VALUE!</v>
      </c>
    </row>
    <row r="232" spans="1:8" ht="13.5" thickBot="1">
      <c r="A232" s="775">
        <v>216</v>
      </c>
      <c r="B232" s="776" t="e">
        <f t="shared" si="18"/>
        <v>#VALUE!</v>
      </c>
      <c r="C232" s="777" t="e">
        <f t="shared" si="16"/>
        <v>#VALUE!</v>
      </c>
      <c r="D232" s="777" t="e">
        <f t="shared" si="17"/>
        <v>#VALUE!</v>
      </c>
      <c r="E232" s="776" t="e">
        <f t="shared" si="19"/>
        <v>#VALUE!</v>
      </c>
      <c r="F232" s="778"/>
      <c r="G232" s="778"/>
      <c r="H232" s="776" t="e">
        <f t="shared" si="15"/>
        <v>#VALUE!</v>
      </c>
    </row>
    <row r="233" spans="1:8" ht="13.5" thickBot="1">
      <c r="A233" s="775">
        <v>217</v>
      </c>
      <c r="B233" s="776" t="e">
        <f t="shared" si="18"/>
        <v>#VALUE!</v>
      </c>
      <c r="C233" s="777" t="e">
        <f t="shared" si="16"/>
        <v>#VALUE!</v>
      </c>
      <c r="D233" s="777" t="e">
        <f t="shared" si="17"/>
        <v>#VALUE!</v>
      </c>
      <c r="E233" s="776" t="e">
        <f t="shared" si="19"/>
        <v>#VALUE!</v>
      </c>
      <c r="F233" s="778"/>
      <c r="G233" s="778"/>
      <c r="H233" s="776" t="e">
        <f t="shared" si="15"/>
        <v>#VALUE!</v>
      </c>
    </row>
    <row r="234" spans="1:8" ht="13.5" thickBot="1">
      <c r="A234" s="775">
        <v>218</v>
      </c>
      <c r="B234" s="776" t="e">
        <f t="shared" si="18"/>
        <v>#VALUE!</v>
      </c>
      <c r="C234" s="777" t="e">
        <f t="shared" si="16"/>
        <v>#VALUE!</v>
      </c>
      <c r="D234" s="777" t="e">
        <f t="shared" si="17"/>
        <v>#VALUE!</v>
      </c>
      <c r="E234" s="776" t="e">
        <f t="shared" si="19"/>
        <v>#VALUE!</v>
      </c>
      <c r="F234" s="778"/>
      <c r="G234" s="778"/>
      <c r="H234" s="776" t="e">
        <f t="shared" si="15"/>
        <v>#VALUE!</v>
      </c>
    </row>
    <row r="235" spans="1:8" ht="13.5" thickBot="1">
      <c r="A235" s="775">
        <v>219</v>
      </c>
      <c r="B235" s="776" t="e">
        <f t="shared" si="18"/>
        <v>#VALUE!</v>
      </c>
      <c r="C235" s="777" t="e">
        <f t="shared" si="16"/>
        <v>#VALUE!</v>
      </c>
      <c r="D235" s="777" t="e">
        <f t="shared" si="17"/>
        <v>#VALUE!</v>
      </c>
      <c r="E235" s="776" t="e">
        <f t="shared" si="19"/>
        <v>#VALUE!</v>
      </c>
      <c r="F235" s="778"/>
      <c r="G235" s="778"/>
      <c r="H235" s="776" t="e">
        <f t="shared" si="15"/>
        <v>#VALUE!</v>
      </c>
    </row>
    <row r="236" spans="1:8" ht="13.5" thickBot="1">
      <c r="A236" s="775">
        <v>220</v>
      </c>
      <c r="B236" s="776" t="e">
        <f t="shared" si="18"/>
        <v>#VALUE!</v>
      </c>
      <c r="C236" s="777" t="e">
        <f t="shared" si="16"/>
        <v>#VALUE!</v>
      </c>
      <c r="D236" s="777" t="e">
        <f t="shared" si="17"/>
        <v>#VALUE!</v>
      </c>
      <c r="E236" s="776" t="e">
        <f t="shared" si="19"/>
        <v>#VALUE!</v>
      </c>
      <c r="F236" s="778"/>
      <c r="G236" s="778"/>
      <c r="H236" s="776" t="e">
        <f t="shared" si="15"/>
        <v>#VALUE!</v>
      </c>
    </row>
    <row r="237" spans="1:8" ht="13.5" thickBot="1">
      <c r="A237" s="775">
        <v>221</v>
      </c>
      <c r="B237" s="776" t="e">
        <f t="shared" si="18"/>
        <v>#VALUE!</v>
      </c>
      <c r="C237" s="777" t="e">
        <f t="shared" si="16"/>
        <v>#VALUE!</v>
      </c>
      <c r="D237" s="777" t="e">
        <f t="shared" si="17"/>
        <v>#VALUE!</v>
      </c>
      <c r="E237" s="776" t="e">
        <f t="shared" si="19"/>
        <v>#VALUE!</v>
      </c>
      <c r="F237" s="778"/>
      <c r="G237" s="778"/>
      <c r="H237" s="776" t="e">
        <f t="shared" si="15"/>
        <v>#VALUE!</v>
      </c>
    </row>
    <row r="238" spans="1:8" ht="13.5" thickBot="1">
      <c r="A238" s="775">
        <v>222</v>
      </c>
      <c r="B238" s="776" t="e">
        <f t="shared" si="18"/>
        <v>#VALUE!</v>
      </c>
      <c r="C238" s="777" t="e">
        <f t="shared" si="16"/>
        <v>#VALUE!</v>
      </c>
      <c r="D238" s="777" t="e">
        <f t="shared" si="17"/>
        <v>#VALUE!</v>
      </c>
      <c r="E238" s="776" t="e">
        <f t="shared" si="19"/>
        <v>#VALUE!</v>
      </c>
      <c r="F238" s="778"/>
      <c r="G238" s="778"/>
      <c r="H238" s="776" t="e">
        <f t="shared" si="15"/>
        <v>#VALUE!</v>
      </c>
    </row>
    <row r="239" spans="1:8" ht="13.5" thickBot="1">
      <c r="A239" s="775">
        <v>223</v>
      </c>
      <c r="B239" s="776" t="e">
        <f t="shared" si="18"/>
        <v>#VALUE!</v>
      </c>
      <c r="C239" s="777" t="e">
        <f t="shared" si="16"/>
        <v>#VALUE!</v>
      </c>
      <c r="D239" s="777" t="e">
        <f t="shared" si="17"/>
        <v>#VALUE!</v>
      </c>
      <c r="E239" s="776" t="e">
        <f t="shared" si="19"/>
        <v>#VALUE!</v>
      </c>
      <c r="F239" s="778"/>
      <c r="G239" s="778"/>
      <c r="H239" s="776" t="e">
        <f t="shared" si="15"/>
        <v>#VALUE!</v>
      </c>
    </row>
    <row r="240" spans="1:8" ht="13.5" thickBot="1">
      <c r="A240" s="775">
        <v>224</v>
      </c>
      <c r="B240" s="776" t="e">
        <f t="shared" si="18"/>
        <v>#VALUE!</v>
      </c>
      <c r="C240" s="777" t="e">
        <f t="shared" si="16"/>
        <v>#VALUE!</v>
      </c>
      <c r="D240" s="777" t="e">
        <f t="shared" si="17"/>
        <v>#VALUE!</v>
      </c>
      <c r="E240" s="776" t="e">
        <f t="shared" si="19"/>
        <v>#VALUE!</v>
      </c>
      <c r="F240" s="778"/>
      <c r="G240" s="778"/>
      <c r="H240" s="776" t="e">
        <f t="shared" si="15"/>
        <v>#VALUE!</v>
      </c>
    </row>
    <row r="241" spans="1:8" ht="13.5" thickBot="1">
      <c r="A241" s="775">
        <v>225</v>
      </c>
      <c r="B241" s="776" t="e">
        <f t="shared" si="18"/>
        <v>#VALUE!</v>
      </c>
      <c r="C241" s="777" t="e">
        <f t="shared" si="16"/>
        <v>#VALUE!</v>
      </c>
      <c r="D241" s="777" t="e">
        <f t="shared" si="17"/>
        <v>#VALUE!</v>
      </c>
      <c r="E241" s="776" t="e">
        <f t="shared" si="19"/>
        <v>#VALUE!</v>
      </c>
      <c r="F241" s="778"/>
      <c r="G241" s="778"/>
      <c r="H241" s="776" t="e">
        <f t="shared" si="15"/>
        <v>#VALUE!</v>
      </c>
    </row>
    <row r="242" spans="1:8" ht="13.5" thickBot="1">
      <c r="A242" s="775">
        <v>226</v>
      </c>
      <c r="B242" s="776" t="e">
        <f t="shared" si="18"/>
        <v>#VALUE!</v>
      </c>
      <c r="C242" s="777" t="e">
        <f t="shared" si="16"/>
        <v>#VALUE!</v>
      </c>
      <c r="D242" s="777" t="e">
        <f t="shared" si="17"/>
        <v>#VALUE!</v>
      </c>
      <c r="E242" s="776" t="e">
        <f t="shared" si="19"/>
        <v>#VALUE!</v>
      </c>
      <c r="F242" s="778"/>
      <c r="G242" s="778"/>
      <c r="H242" s="776" t="e">
        <f t="shared" si="15"/>
        <v>#VALUE!</v>
      </c>
    </row>
    <row r="243" spans="1:8" ht="13.5" thickBot="1">
      <c r="A243" s="775">
        <v>227</v>
      </c>
      <c r="B243" s="776" t="e">
        <f t="shared" si="18"/>
        <v>#VALUE!</v>
      </c>
      <c r="C243" s="777" t="e">
        <f t="shared" si="16"/>
        <v>#VALUE!</v>
      </c>
      <c r="D243" s="777" t="e">
        <f t="shared" si="17"/>
        <v>#VALUE!</v>
      </c>
      <c r="E243" s="776" t="e">
        <f t="shared" si="19"/>
        <v>#VALUE!</v>
      </c>
      <c r="F243" s="778"/>
      <c r="G243" s="778"/>
      <c r="H243" s="776" t="e">
        <f t="shared" si="15"/>
        <v>#VALUE!</v>
      </c>
    </row>
    <row r="244" spans="1:8" ht="13.5" thickBot="1">
      <c r="A244" s="775">
        <v>228</v>
      </c>
      <c r="B244" s="776" t="e">
        <f t="shared" si="18"/>
        <v>#VALUE!</v>
      </c>
      <c r="C244" s="777" t="e">
        <f t="shared" si="16"/>
        <v>#VALUE!</v>
      </c>
      <c r="D244" s="777" t="e">
        <f t="shared" si="17"/>
        <v>#VALUE!</v>
      </c>
      <c r="E244" s="776" t="e">
        <f t="shared" si="19"/>
        <v>#VALUE!</v>
      </c>
      <c r="F244" s="778"/>
      <c r="G244" s="778"/>
      <c r="H244" s="776" t="e">
        <f t="shared" si="15"/>
        <v>#VALUE!</v>
      </c>
    </row>
    <row r="245" spans="1:8" ht="13.5" thickBot="1">
      <c r="A245" s="775">
        <v>229</v>
      </c>
      <c r="B245" s="776" t="e">
        <f t="shared" si="18"/>
        <v>#VALUE!</v>
      </c>
      <c r="C245" s="777" t="e">
        <f t="shared" si="16"/>
        <v>#VALUE!</v>
      </c>
      <c r="D245" s="777" t="e">
        <f t="shared" si="17"/>
        <v>#VALUE!</v>
      </c>
      <c r="E245" s="776" t="e">
        <f t="shared" si="19"/>
        <v>#VALUE!</v>
      </c>
      <c r="F245" s="778"/>
      <c r="G245" s="778"/>
      <c r="H245" s="776" t="e">
        <f t="shared" si="15"/>
        <v>#VALUE!</v>
      </c>
    </row>
    <row r="246" spans="1:8" ht="13.5" thickBot="1">
      <c r="A246" s="775">
        <v>230</v>
      </c>
      <c r="B246" s="776" t="e">
        <f t="shared" si="18"/>
        <v>#VALUE!</v>
      </c>
      <c r="C246" s="777" t="e">
        <f t="shared" si="16"/>
        <v>#VALUE!</v>
      </c>
      <c r="D246" s="777" t="e">
        <f t="shared" si="17"/>
        <v>#VALUE!</v>
      </c>
      <c r="E246" s="776" t="e">
        <f t="shared" si="19"/>
        <v>#VALUE!</v>
      </c>
      <c r="F246" s="778"/>
      <c r="G246" s="778"/>
      <c r="H246" s="776" t="e">
        <f t="shared" si="15"/>
        <v>#VALUE!</v>
      </c>
    </row>
    <row r="247" spans="1:8" ht="13.5" thickBot="1">
      <c r="A247" s="775">
        <v>231</v>
      </c>
      <c r="B247" s="776" t="e">
        <f t="shared" si="18"/>
        <v>#VALUE!</v>
      </c>
      <c r="C247" s="777" t="e">
        <f t="shared" si="16"/>
        <v>#VALUE!</v>
      </c>
      <c r="D247" s="777" t="e">
        <f t="shared" si="17"/>
        <v>#VALUE!</v>
      </c>
      <c r="E247" s="776" t="e">
        <f t="shared" si="19"/>
        <v>#VALUE!</v>
      </c>
      <c r="F247" s="778"/>
      <c r="G247" s="778"/>
      <c r="H247" s="776" t="e">
        <f t="shared" si="15"/>
        <v>#VALUE!</v>
      </c>
    </row>
    <row r="248" spans="1:8" ht="13.5" thickBot="1">
      <c r="A248" s="775">
        <v>232</v>
      </c>
      <c r="B248" s="776" t="e">
        <f t="shared" si="18"/>
        <v>#VALUE!</v>
      </c>
      <c r="C248" s="777" t="e">
        <f t="shared" si="16"/>
        <v>#VALUE!</v>
      </c>
      <c r="D248" s="777" t="e">
        <f t="shared" si="17"/>
        <v>#VALUE!</v>
      </c>
      <c r="E248" s="776" t="e">
        <f t="shared" si="19"/>
        <v>#VALUE!</v>
      </c>
      <c r="F248" s="778"/>
      <c r="G248" s="778"/>
      <c r="H248" s="776" t="e">
        <f t="shared" si="15"/>
        <v>#VALUE!</v>
      </c>
    </row>
    <row r="249" spans="1:8" ht="13.5" thickBot="1">
      <c r="A249" s="775">
        <v>233</v>
      </c>
      <c r="B249" s="776" t="e">
        <f t="shared" si="18"/>
        <v>#VALUE!</v>
      </c>
      <c r="C249" s="777" t="e">
        <f t="shared" si="16"/>
        <v>#VALUE!</v>
      </c>
      <c r="D249" s="777" t="e">
        <f t="shared" si="17"/>
        <v>#VALUE!</v>
      </c>
      <c r="E249" s="776" t="e">
        <f t="shared" si="19"/>
        <v>#VALUE!</v>
      </c>
      <c r="F249" s="778"/>
      <c r="G249" s="778"/>
      <c r="H249" s="776" t="e">
        <f t="shared" si="15"/>
        <v>#VALUE!</v>
      </c>
    </row>
    <row r="250" spans="1:8" ht="13.5" thickBot="1">
      <c r="A250" s="775">
        <v>234</v>
      </c>
      <c r="B250" s="776" t="e">
        <f t="shared" si="18"/>
        <v>#VALUE!</v>
      </c>
      <c r="C250" s="777" t="e">
        <f t="shared" si="16"/>
        <v>#VALUE!</v>
      </c>
      <c r="D250" s="777" t="e">
        <f t="shared" si="17"/>
        <v>#VALUE!</v>
      </c>
      <c r="E250" s="776" t="e">
        <f t="shared" si="19"/>
        <v>#VALUE!</v>
      </c>
      <c r="F250" s="778"/>
      <c r="G250" s="778"/>
      <c r="H250" s="776" t="e">
        <f t="shared" si="15"/>
        <v>#VALUE!</v>
      </c>
    </row>
    <row r="251" spans="1:8" ht="13.5" thickBot="1">
      <c r="A251" s="775">
        <v>235</v>
      </c>
      <c r="B251" s="776" t="e">
        <f t="shared" si="18"/>
        <v>#VALUE!</v>
      </c>
      <c r="C251" s="777" t="e">
        <f t="shared" si="16"/>
        <v>#VALUE!</v>
      </c>
      <c r="D251" s="777" t="e">
        <f t="shared" si="17"/>
        <v>#VALUE!</v>
      </c>
      <c r="E251" s="776" t="e">
        <f t="shared" si="19"/>
        <v>#VALUE!</v>
      </c>
      <c r="F251" s="778"/>
      <c r="G251" s="778"/>
      <c r="H251" s="776" t="e">
        <f t="shared" si="15"/>
        <v>#VALUE!</v>
      </c>
    </row>
    <row r="252" spans="1:8" ht="13.5" thickBot="1">
      <c r="A252" s="775">
        <v>236</v>
      </c>
      <c r="B252" s="776" t="e">
        <f t="shared" si="18"/>
        <v>#VALUE!</v>
      </c>
      <c r="C252" s="777" t="e">
        <f t="shared" si="16"/>
        <v>#VALUE!</v>
      </c>
      <c r="D252" s="777" t="e">
        <f t="shared" si="17"/>
        <v>#VALUE!</v>
      </c>
      <c r="E252" s="776" t="e">
        <f t="shared" si="19"/>
        <v>#VALUE!</v>
      </c>
      <c r="F252" s="778"/>
      <c r="G252" s="778"/>
      <c r="H252" s="776" t="e">
        <f t="shared" si="15"/>
        <v>#VALUE!</v>
      </c>
    </row>
    <row r="253" spans="1:8" ht="13.5" thickBot="1">
      <c r="A253" s="775">
        <v>237</v>
      </c>
      <c r="B253" s="776" t="e">
        <f t="shared" si="18"/>
        <v>#VALUE!</v>
      </c>
      <c r="C253" s="777" t="e">
        <f t="shared" si="16"/>
        <v>#VALUE!</v>
      </c>
      <c r="D253" s="777" t="e">
        <f t="shared" si="17"/>
        <v>#VALUE!</v>
      </c>
      <c r="E253" s="776" t="e">
        <f t="shared" si="19"/>
        <v>#VALUE!</v>
      </c>
      <c r="F253" s="778"/>
      <c r="G253" s="778"/>
      <c r="H253" s="776" t="e">
        <f t="shared" si="15"/>
        <v>#VALUE!</v>
      </c>
    </row>
    <row r="254" spans="1:8" ht="13.5" thickBot="1">
      <c r="A254" s="775">
        <v>238</v>
      </c>
      <c r="B254" s="776" t="e">
        <f t="shared" si="18"/>
        <v>#VALUE!</v>
      </c>
      <c r="C254" s="777" t="e">
        <f t="shared" si="16"/>
        <v>#VALUE!</v>
      </c>
      <c r="D254" s="777" t="e">
        <f t="shared" si="17"/>
        <v>#VALUE!</v>
      </c>
      <c r="E254" s="776" t="e">
        <f t="shared" si="19"/>
        <v>#VALUE!</v>
      </c>
      <c r="F254" s="778"/>
      <c r="G254" s="778"/>
      <c r="H254" s="776" t="e">
        <f t="shared" si="15"/>
        <v>#VALUE!</v>
      </c>
    </row>
    <row r="255" spans="1:8" ht="13.5" thickBot="1">
      <c r="A255" s="775">
        <v>239</v>
      </c>
      <c r="B255" s="776" t="e">
        <f t="shared" si="18"/>
        <v>#VALUE!</v>
      </c>
      <c r="C255" s="777" t="e">
        <f t="shared" si="16"/>
        <v>#VALUE!</v>
      </c>
      <c r="D255" s="777" t="e">
        <f t="shared" si="17"/>
        <v>#VALUE!</v>
      </c>
      <c r="E255" s="776" t="e">
        <f t="shared" si="19"/>
        <v>#VALUE!</v>
      </c>
      <c r="F255" s="778"/>
      <c r="G255" s="778"/>
      <c r="H255" s="776" t="e">
        <f t="shared" si="15"/>
        <v>#VALUE!</v>
      </c>
    </row>
    <row r="256" spans="1:8" ht="13.5" thickBot="1">
      <c r="A256" s="779">
        <v>240</v>
      </c>
      <c r="B256" s="776" t="e">
        <f t="shared" si="18"/>
        <v>#VALUE!</v>
      </c>
      <c r="C256" s="777" t="e">
        <f t="shared" si="16"/>
        <v>#VALUE!</v>
      </c>
      <c r="D256" s="777" t="e">
        <f t="shared" si="17"/>
        <v>#VALUE!</v>
      </c>
      <c r="E256" s="776" t="e">
        <f t="shared" si="19"/>
        <v>#VALUE!</v>
      </c>
      <c r="F256" s="778"/>
      <c r="G256" s="778"/>
      <c r="H256" s="776" t="e">
        <f t="shared" si="15"/>
        <v>#VALUE!</v>
      </c>
    </row>
  </sheetData>
  <mergeCells count="2">
    <mergeCell ref="A9:B9"/>
    <mergeCell ref="A1:XFD1"/>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42E0A-62FB-48A5-B4CD-57E14DF09F22}">
  <sheetPr codeName="Sheet50">
    <tabColor theme="5" tint="0.39997558519241921"/>
  </sheetPr>
  <dimension ref="A1:U8"/>
  <sheetViews>
    <sheetView workbookViewId="0">
      <selection sqref="A1:XFD1"/>
    </sheetView>
  </sheetViews>
  <sheetFormatPr defaultColWidth="9.140625" defaultRowHeight="12"/>
  <cols>
    <col min="1" max="1" width="17.85546875" style="80" customWidth="1"/>
    <col min="2" max="10" width="13.28515625" style="80" bestFit="1" customWidth="1"/>
    <col min="11" max="21" width="12.7109375" style="80" bestFit="1" customWidth="1"/>
    <col min="22" max="16384" width="9.140625" style="80"/>
  </cols>
  <sheetData>
    <row r="1" spans="1:21" s="1210" customFormat="1" ht="15">
      <c r="A1" s="1210" t="s">
        <v>447</v>
      </c>
    </row>
    <row r="2" spans="1:21" ht="12.75" thickBot="1"/>
    <row r="3" spans="1:21" ht="12.75" thickBot="1">
      <c r="A3" s="228"/>
      <c r="B3" s="228" t="s">
        <v>12</v>
      </c>
      <c r="C3" s="228" t="s">
        <v>13</v>
      </c>
      <c r="D3" s="228" t="s">
        <v>14</v>
      </c>
      <c r="E3" s="228" t="s">
        <v>15</v>
      </c>
      <c r="F3" s="228" t="s">
        <v>16</v>
      </c>
      <c r="G3" s="228" t="s">
        <v>17</v>
      </c>
      <c r="H3" s="228" t="s">
        <v>18</v>
      </c>
      <c r="I3" s="228" t="s">
        <v>21</v>
      </c>
      <c r="J3" s="228" t="s">
        <v>22</v>
      </c>
      <c r="K3" s="228" t="s">
        <v>23</v>
      </c>
      <c r="L3" s="228" t="s">
        <v>261</v>
      </c>
      <c r="M3" s="228" t="s">
        <v>262</v>
      </c>
      <c r="N3" s="228" t="s">
        <v>263</v>
      </c>
      <c r="O3" s="228" t="s">
        <v>264</v>
      </c>
      <c r="P3" s="228" t="s">
        <v>265</v>
      </c>
      <c r="Q3" s="228" t="s">
        <v>266</v>
      </c>
      <c r="R3" s="228" t="s">
        <v>267</v>
      </c>
      <c r="S3" s="228" t="s">
        <v>268</v>
      </c>
      <c r="T3" s="228" t="s">
        <v>269</v>
      </c>
      <c r="U3" s="228" t="s">
        <v>270</v>
      </c>
    </row>
    <row r="4" spans="1:21" ht="12.75" thickBot="1">
      <c r="A4" s="229" t="s">
        <v>260</v>
      </c>
      <c r="B4" s="231" t="e">
        <f>SUM('LOAN - Pond'!E17:E28)</f>
        <v>#VALUE!</v>
      </c>
      <c r="C4" s="231" t="e">
        <f>SUM('LOAN - Pond'!E29:E40)</f>
        <v>#VALUE!</v>
      </c>
      <c r="D4" s="231" t="e">
        <f>SUM('LOAN - Pond'!E41:E52)</f>
        <v>#VALUE!</v>
      </c>
      <c r="E4" s="231" t="e">
        <f>SUM('LOAN - Pond'!E53:E64)</f>
        <v>#VALUE!</v>
      </c>
      <c r="F4" s="231" t="e">
        <f>SUM('LOAN - Pond'!E65:E76)</f>
        <v>#VALUE!</v>
      </c>
      <c r="G4" s="231" t="e">
        <f>SUM('LOAN - Pond'!E77:E88)</f>
        <v>#VALUE!</v>
      </c>
      <c r="H4" s="231" t="e">
        <f>SUM('LOAN - Pond'!E89:E100)</f>
        <v>#VALUE!</v>
      </c>
      <c r="I4" s="231" t="e">
        <f>SUM('LOAN - Pond'!E101:E112)</f>
        <v>#VALUE!</v>
      </c>
      <c r="J4" s="231" t="e">
        <f>SUM('LOAN - Pond'!E113:E124)</f>
        <v>#VALUE!</v>
      </c>
      <c r="K4" s="231" t="e">
        <f>SUM('LOAN - Pond'!E125:E136)</f>
        <v>#VALUE!</v>
      </c>
      <c r="L4" s="231" t="e">
        <f>SUM('LOAN - Pond'!E137:E148)</f>
        <v>#VALUE!</v>
      </c>
      <c r="M4" s="231" t="e">
        <f>SUM('LOAN - Pond'!E149:E160)</f>
        <v>#VALUE!</v>
      </c>
      <c r="N4" s="231" t="e">
        <f>SUM('LOAN - Pond'!E161:E172)</f>
        <v>#VALUE!</v>
      </c>
      <c r="O4" s="231" t="e">
        <f>SUM('LOAN - Pond'!E173:E184)</f>
        <v>#VALUE!</v>
      </c>
      <c r="P4" s="231" t="e">
        <f>SUM('LOAN - Pond'!E185:E196)</f>
        <v>#VALUE!</v>
      </c>
      <c r="Q4" s="231" t="e">
        <f>SUM('LOAN - Pond'!E197:E208)</f>
        <v>#VALUE!</v>
      </c>
      <c r="R4" s="231" t="e">
        <f>SUM('LOAN - Pond'!E209:E220)</f>
        <v>#VALUE!</v>
      </c>
      <c r="S4" s="231" t="e">
        <f>SUM('LOAN - Pond'!E221:E232)</f>
        <v>#VALUE!</v>
      </c>
      <c r="T4" s="231" t="e">
        <f>SUM('LOAN - Pond'!E233:E244)</f>
        <v>#VALUE!</v>
      </c>
      <c r="U4" s="231" t="e">
        <f>SUM('LOAN - Pond'!E245:E256)</f>
        <v>#VALUE!</v>
      </c>
    </row>
    <row r="5" spans="1:21" ht="12.75" thickBot="1">
      <c r="A5" s="229" t="s">
        <v>259</v>
      </c>
      <c r="B5" s="231" t="e">
        <f>'LOAN - Pond'!H28</f>
        <v>#VALUE!</v>
      </c>
      <c r="C5" s="231" t="e">
        <f>'LOAN - Pond'!H40</f>
        <v>#VALUE!</v>
      </c>
      <c r="D5" s="231" t="e">
        <f>'LOAN - Pond'!H52</f>
        <v>#VALUE!</v>
      </c>
      <c r="E5" s="231" t="e">
        <f>'LOAN - Pond'!H64</f>
        <v>#VALUE!</v>
      </c>
      <c r="F5" s="231" t="e">
        <f>'LOAN - Pond'!H76</f>
        <v>#VALUE!</v>
      </c>
      <c r="G5" s="231" t="e">
        <f>'LOAN - Pond'!H88</f>
        <v>#VALUE!</v>
      </c>
      <c r="H5" s="231" t="e">
        <f>'LOAN - Pond'!H100</f>
        <v>#VALUE!</v>
      </c>
      <c r="I5" s="231" t="e">
        <f>'LOAN - Pond'!H112</f>
        <v>#VALUE!</v>
      </c>
      <c r="J5" s="231" t="e">
        <f>'LOAN - Pond'!H124</f>
        <v>#VALUE!</v>
      </c>
      <c r="K5" s="231" t="e">
        <f>'LOAN - Pond'!H136</f>
        <v>#VALUE!</v>
      </c>
      <c r="L5" s="231" t="e">
        <f>'LOAN - Pond'!H148</f>
        <v>#VALUE!</v>
      </c>
      <c r="M5" s="231" t="e">
        <f>'LOAN - Pond'!H160</f>
        <v>#VALUE!</v>
      </c>
      <c r="N5" s="231" t="e">
        <f>'LOAN - Pond'!H172</f>
        <v>#VALUE!</v>
      </c>
      <c r="O5" s="231" t="e">
        <f>'LOAN - Pond'!H184</f>
        <v>#VALUE!</v>
      </c>
      <c r="P5" s="231" t="e">
        <f>'LOAN - Pond'!H196</f>
        <v>#VALUE!</v>
      </c>
      <c r="Q5" s="231" t="e">
        <f>'LOAN - Pond'!H208</f>
        <v>#VALUE!</v>
      </c>
      <c r="R5" s="231" t="e">
        <f>'LOAN - Pond'!H220</f>
        <v>#VALUE!</v>
      </c>
      <c r="S5" s="231" t="e">
        <f>'LOAN - Pond'!H232</f>
        <v>#VALUE!</v>
      </c>
      <c r="T5" s="231" t="e">
        <f>'LOAN - Pond'!H244</f>
        <v>#VALUE!</v>
      </c>
      <c r="U5" s="231" t="e">
        <f>'LOAN - Pond'!H256</f>
        <v>#VALUE!</v>
      </c>
    </row>
    <row r="6" spans="1:21" ht="12.75" thickBot="1">
      <c r="A6" s="229" t="s">
        <v>271</v>
      </c>
      <c r="B6" s="232" t="e">
        <f>'LOAN - Pond'!$B$14*12</f>
        <v>#VALUE!</v>
      </c>
      <c r="C6" s="232" t="e">
        <f>'LOAN - Pond'!$B$14*12</f>
        <v>#VALUE!</v>
      </c>
      <c r="D6" s="232" t="e">
        <f>'LOAN - Pond'!$B$14*12</f>
        <v>#VALUE!</v>
      </c>
      <c r="E6" s="232" t="e">
        <f>'LOAN - Pond'!$B$14*12</f>
        <v>#VALUE!</v>
      </c>
      <c r="F6" s="232" t="e">
        <f>'LOAN - Pond'!$B$14*12</f>
        <v>#VALUE!</v>
      </c>
      <c r="G6" s="232" t="e">
        <f>'LOAN - Pond'!$B$14*12</f>
        <v>#VALUE!</v>
      </c>
      <c r="H6" s="232" t="e">
        <f>'LOAN - Pond'!$B$14*12</f>
        <v>#VALUE!</v>
      </c>
      <c r="I6" s="232" t="e">
        <f>'LOAN - Pond'!$B$14*12</f>
        <v>#VALUE!</v>
      </c>
      <c r="J6" s="232" t="e">
        <f>'LOAN - Pond'!$B$14*12</f>
        <v>#VALUE!</v>
      </c>
      <c r="K6" s="232" t="e">
        <f>'LOAN - Pond'!$B$14*12</f>
        <v>#VALUE!</v>
      </c>
      <c r="L6" s="232" t="e">
        <f>'LOAN - Pond'!$B$14*12</f>
        <v>#VALUE!</v>
      </c>
      <c r="M6" s="232" t="e">
        <f>'LOAN - Pond'!$B$14*12</f>
        <v>#VALUE!</v>
      </c>
      <c r="N6" s="232" t="e">
        <f>'LOAN - Pond'!$B$14*12</f>
        <v>#VALUE!</v>
      </c>
      <c r="O6" s="232" t="e">
        <f>'LOAN - Pond'!$B$14*12</f>
        <v>#VALUE!</v>
      </c>
      <c r="P6" s="232" t="e">
        <f>'LOAN - Pond'!$B$14*12</f>
        <v>#VALUE!</v>
      </c>
      <c r="Q6" s="232" t="e">
        <f>'LOAN - Pond'!$B$14*12</f>
        <v>#VALUE!</v>
      </c>
      <c r="R6" s="232" t="e">
        <f>'LOAN - Pond'!$B$14*12</f>
        <v>#VALUE!</v>
      </c>
      <c r="S6" s="232" t="e">
        <f>'LOAN - Pond'!$B$14*12</f>
        <v>#VALUE!</v>
      </c>
      <c r="T6" s="232" t="e">
        <f>'LOAN - Pond'!$B$14*12</f>
        <v>#VALUE!</v>
      </c>
      <c r="U6" s="232" t="e">
        <f>'LOAN - Pond'!$B$14*12</f>
        <v>#VALUE!</v>
      </c>
    </row>
    <row r="8" spans="1:21">
      <c r="B8" s="230"/>
    </row>
  </sheetData>
  <mergeCells count="1">
    <mergeCell ref="A1:XFD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6DD51-4307-416E-B773-B5ED562C0173}">
  <sheetPr codeName="Sheet1">
    <tabColor theme="1" tint="4.9989318521683403E-2"/>
  </sheetPr>
  <dimension ref="B1:I45"/>
  <sheetViews>
    <sheetView zoomScale="85" zoomScaleNormal="85" workbookViewId="0">
      <selection activeCell="C26" sqref="C26"/>
    </sheetView>
  </sheetViews>
  <sheetFormatPr defaultColWidth="9.140625" defaultRowHeight="15"/>
  <cols>
    <col min="1" max="1" width="1.85546875" style="3" customWidth="1"/>
    <col min="2" max="2" width="38" style="3" customWidth="1"/>
    <col min="3" max="3" width="17.85546875" style="3" customWidth="1"/>
    <col min="4" max="4" width="32.42578125" style="3" customWidth="1"/>
    <col min="5" max="8" width="9.140625" style="3"/>
    <col min="9" max="9" width="29.7109375" style="3" bestFit="1" customWidth="1"/>
    <col min="10" max="16384" width="9.140625" style="3"/>
  </cols>
  <sheetData>
    <row r="1" spans="2:9" ht="3.75" customHeight="1" thickBot="1"/>
    <row r="2" spans="2:9" ht="101.25" customHeight="1">
      <c r="B2" s="1225" t="s">
        <v>68</v>
      </c>
      <c r="C2" s="1226"/>
      <c r="D2" s="1227"/>
    </row>
    <row r="3" spans="2:9" ht="3.75" customHeight="1" thickBot="1">
      <c r="B3" s="1228"/>
      <c r="C3" s="1229"/>
      <c r="D3" s="1230"/>
    </row>
    <row r="4" spans="2:9" ht="6.75" customHeight="1" thickBot="1">
      <c r="B4" s="10"/>
      <c r="C4" s="10"/>
      <c r="D4" s="10"/>
    </row>
    <row r="5" spans="2:9" ht="15.75" thickBot="1">
      <c r="B5" s="4" t="s">
        <v>60</v>
      </c>
      <c r="C5" s="12">
        <v>0.10249999999999999</v>
      </c>
      <c r="D5" s="4"/>
      <c r="F5" s="16"/>
    </row>
    <row r="6" spans="2:9" ht="15.75" thickBot="1">
      <c r="B6" s="4" t="s">
        <v>67</v>
      </c>
      <c r="C6" s="11">
        <v>1</v>
      </c>
      <c r="D6" s="4"/>
    </row>
    <row r="7" spans="2:9">
      <c r="B7" s="4"/>
      <c r="C7" s="4"/>
      <c r="D7" s="4"/>
      <c r="I7" s="1" t="s">
        <v>44</v>
      </c>
    </row>
    <row r="8" spans="2:9" ht="15.75" thickBot="1">
      <c r="B8" s="4"/>
      <c r="C8" s="4"/>
      <c r="D8" s="4"/>
      <c r="I8" s="1" t="s">
        <v>45</v>
      </c>
    </row>
    <row r="9" spans="2:9" ht="15.75" thickBot="1">
      <c r="B9" s="5" t="s">
        <v>65</v>
      </c>
      <c r="C9" s="5"/>
      <c r="D9" s="17" t="str">
        <f>Interface!F16</f>
        <v>&lt;Do you already have a Farm?&gt;</v>
      </c>
      <c r="I9" s="1" t="s">
        <v>46</v>
      </c>
    </row>
    <row r="10" spans="2:9">
      <c r="B10" s="6" t="s">
        <v>64</v>
      </c>
      <c r="C10" s="7">
        <f>IF(D9="YES",1%,0%)</f>
        <v>0</v>
      </c>
      <c r="D10" s="4"/>
      <c r="I10" s="1" t="s">
        <v>47</v>
      </c>
    </row>
    <row r="11" spans="2:9" ht="13.5" customHeight="1">
      <c r="B11" s="4" t="s">
        <v>59</v>
      </c>
      <c r="C11" s="4">
        <f>IF(D9="YES",0.1,0)</f>
        <v>0</v>
      </c>
      <c r="D11" s="4"/>
      <c r="I11" s="2" t="s">
        <v>48</v>
      </c>
    </row>
    <row r="12" spans="2:9">
      <c r="B12" s="4" t="s">
        <v>256</v>
      </c>
      <c r="C12" s="4"/>
      <c r="D12" s="4"/>
    </row>
    <row r="13" spans="2:9" ht="15.75" thickBot="1">
      <c r="B13" s="4"/>
      <c r="C13" s="4"/>
      <c r="D13" s="4"/>
    </row>
    <row r="14" spans="2:9" ht="15.75" thickBot="1">
      <c r="B14" s="5" t="s">
        <v>66</v>
      </c>
      <c r="C14" s="5"/>
      <c r="D14" s="17" t="str">
        <f>Interface!G19</f>
        <v>&lt;Please Select a Skills Level&gt;</v>
      </c>
    </row>
    <row r="15" spans="2:9">
      <c r="B15" s="6" t="s">
        <v>64</v>
      </c>
      <c r="C15" s="179">
        <f>IF(D14=Validation!F13,0%,IF(D14=Validation!F14,0.25%,IF(D14=Validation!F15,0.5%,IF(D14=Validation!F16,0.75%,IF(D14=Validation!F17,1%,0%)))))</f>
        <v>0</v>
      </c>
      <c r="D15" s="178"/>
    </row>
    <row r="16" spans="2:9">
      <c r="B16" s="4" t="s">
        <v>59</v>
      </c>
      <c r="C16" s="4">
        <f>IF(D14=B32, 0.05, IF(D14=B33, 0.1, IF(D14=B34, 0.15, IF(D14=B35, 0.2, 0))))</f>
        <v>0</v>
      </c>
      <c r="D16" s="4"/>
    </row>
    <row r="17" spans="2:4">
      <c r="B17" s="4" t="s">
        <v>257</v>
      </c>
      <c r="C17" s="4"/>
      <c r="D17" s="4"/>
    </row>
    <row r="18" spans="2:4" ht="15.75" thickBot="1">
      <c r="B18" s="4"/>
      <c r="C18" s="4"/>
      <c r="D18" s="4"/>
    </row>
    <row r="19" spans="2:4" ht="15.75" thickBot="1">
      <c r="B19" s="5" t="s">
        <v>63</v>
      </c>
      <c r="C19" s="5"/>
      <c r="D19" s="17" t="str">
        <f>Interface!E16</f>
        <v>&lt;Select Operational Status&gt;</v>
      </c>
    </row>
    <row r="20" spans="2:4">
      <c r="B20" s="6" t="s">
        <v>6</v>
      </c>
      <c r="C20" s="7">
        <f>IF(D19="EXISTING",1%,0%)</f>
        <v>0</v>
      </c>
      <c r="D20" s="7"/>
    </row>
    <row r="21" spans="2:4" ht="15.75" thickBot="1">
      <c r="B21" s="4"/>
      <c r="C21" s="4"/>
      <c r="D21" s="4"/>
    </row>
    <row r="22" spans="2:4" ht="15.75" thickBot="1">
      <c r="B22" s="5" t="s">
        <v>58</v>
      </c>
      <c r="C22" s="5"/>
      <c r="D22" s="17" t="str">
        <f>Interface!G16</f>
        <v>&lt;Do you already have a investor?&gt;</v>
      </c>
    </row>
    <row r="23" spans="2:4">
      <c r="B23" s="6" t="s">
        <v>6</v>
      </c>
      <c r="C23" s="7">
        <f>IF(D22="YES",1%,0%)</f>
        <v>0</v>
      </c>
      <c r="D23" s="18"/>
    </row>
    <row r="24" spans="2:4" ht="15.75" thickBot="1">
      <c r="B24" s="4"/>
      <c r="C24" s="4"/>
      <c r="D24" s="4"/>
    </row>
    <row r="25" spans="2:4" ht="15.75" thickBot="1">
      <c r="B25" s="8" t="s">
        <v>61</v>
      </c>
      <c r="C25" s="9">
        <f>C5-C10-C20-C23-C15</f>
        <v>0.10249999999999999</v>
      </c>
      <c r="D25" s="4"/>
    </row>
    <row r="26" spans="2:4" ht="15.75" thickBot="1">
      <c r="B26" s="8" t="s">
        <v>62</v>
      </c>
      <c r="C26" s="13">
        <f>C6+C11+C16</f>
        <v>1</v>
      </c>
      <c r="D26" s="4"/>
    </row>
    <row r="31" spans="2:4">
      <c r="B31" s="14" t="s">
        <v>44</v>
      </c>
    </row>
    <row r="32" spans="2:4">
      <c r="B32" s="14" t="s">
        <v>45</v>
      </c>
    </row>
    <row r="33" spans="2:2">
      <c r="B33" s="15" t="s">
        <v>46</v>
      </c>
    </row>
    <row r="34" spans="2:2">
      <c r="B34" s="15" t="s">
        <v>47</v>
      </c>
    </row>
    <row r="35" spans="2:2">
      <c r="B35" s="15" t="s">
        <v>48</v>
      </c>
    </row>
    <row r="36" spans="2:2">
      <c r="B36" s="16"/>
    </row>
    <row r="37" spans="2:2">
      <c r="B37" s="16"/>
    </row>
    <row r="38" spans="2:2">
      <c r="B38" s="16"/>
    </row>
    <row r="39" spans="2:2">
      <c r="B39" s="16"/>
    </row>
    <row r="40" spans="2:2">
      <c r="B40" s="16"/>
    </row>
    <row r="41" spans="2:2">
      <c r="B41" s="16"/>
    </row>
    <row r="42" spans="2:2">
      <c r="B42" s="16"/>
    </row>
    <row r="43" spans="2:2">
      <c r="B43" s="16"/>
    </row>
    <row r="44" spans="2:2">
      <c r="B44" s="16"/>
    </row>
    <row r="45" spans="2:2">
      <c r="B45" s="16"/>
    </row>
  </sheetData>
  <mergeCells count="1">
    <mergeCell ref="B2:D3"/>
  </mergeCells>
  <conditionalFormatting sqref="D9">
    <cfRule type="expression" dxfId="7" priority="7">
      <formula>$D$9="NO"</formula>
    </cfRule>
    <cfRule type="expression" dxfId="6" priority="8">
      <formula>$D$9="YES"</formula>
    </cfRule>
  </conditionalFormatting>
  <conditionalFormatting sqref="D14:D15">
    <cfRule type="expression" dxfId="5" priority="5">
      <formula>$D$14="NO"</formula>
    </cfRule>
    <cfRule type="expression" dxfId="4" priority="6">
      <formula>$D$14="YES"</formula>
    </cfRule>
  </conditionalFormatting>
  <conditionalFormatting sqref="D19">
    <cfRule type="expression" dxfId="3" priority="3">
      <formula>$D$19="NO"</formula>
    </cfRule>
    <cfRule type="expression" dxfId="2" priority="4">
      <formula>$D$19="YES"</formula>
    </cfRule>
  </conditionalFormatting>
  <conditionalFormatting sqref="D22">
    <cfRule type="expression" dxfId="1" priority="1">
      <formula>$D$22="NO"</formula>
    </cfRule>
    <cfRule type="expression" dxfId="0" priority="2">
      <formula>$D$22="YES"</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Button 7">
              <controlPr defaultSize="0" print="0" autoFill="0" autoPict="0" macro="[0]!INTERFACE">
                <anchor moveWithCells="1" sizeWithCells="1">
                  <from>
                    <xdr:col>3</xdr:col>
                    <xdr:colOff>1495425</xdr:colOff>
                    <xdr:row>1</xdr:row>
                    <xdr:rowOff>1066800</xdr:rowOff>
                  </from>
                  <to>
                    <xdr:col>3</xdr:col>
                    <xdr:colOff>2114550</xdr:colOff>
                    <xdr:row>1</xdr:row>
                    <xdr:rowOff>1266825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09A45-580C-467F-9367-427530DDA6F4}">
  <sheetPr>
    <tabColor rgb="FFFF3399"/>
  </sheetPr>
  <dimension ref="B1:H24"/>
  <sheetViews>
    <sheetView workbookViewId="0">
      <selection activeCell="I14" sqref="I14"/>
    </sheetView>
  </sheetViews>
  <sheetFormatPr defaultRowHeight="12.75"/>
  <cols>
    <col min="1" max="1" width="9.140625" style="438" customWidth="1"/>
    <col min="2" max="2" width="1.85546875" style="438" customWidth="1"/>
    <col min="3" max="3" width="2.7109375" style="438" customWidth="1"/>
    <col min="4" max="4" width="60.140625" style="438" bestFit="1" customWidth="1"/>
    <col min="5" max="5" width="11.28515625" style="438" bestFit="1" customWidth="1"/>
    <col min="6" max="6" width="2.7109375" style="438" customWidth="1"/>
    <col min="7" max="7" width="1.85546875" style="438" customWidth="1"/>
    <col min="8" max="8" width="10.28515625" style="438" customWidth="1"/>
    <col min="9" max="9" width="31.28515625" style="438" bestFit="1" customWidth="1"/>
    <col min="10" max="16384" width="9.140625" style="438"/>
  </cols>
  <sheetData>
    <row r="1" spans="2:7" ht="42" customHeight="1">
      <c r="B1" s="439" t="s">
        <v>415</v>
      </c>
    </row>
    <row r="2" spans="2:7" ht="7.5" customHeight="1">
      <c r="B2" s="440"/>
      <c r="C2" s="440"/>
      <c r="D2" s="441"/>
      <c r="E2" s="440"/>
      <c r="F2" s="440"/>
      <c r="G2" s="440"/>
    </row>
    <row r="3" spans="2:7" ht="13.5" thickBot="1">
      <c r="B3" s="440"/>
      <c r="G3" s="440"/>
    </row>
    <row r="4" spans="2:7" ht="16.5" customHeight="1" thickBot="1">
      <c r="B4" s="440"/>
      <c r="D4" s="1115" t="s">
        <v>97</v>
      </c>
      <c r="E4" s="1116"/>
      <c r="G4" s="440"/>
    </row>
    <row r="5" spans="2:7">
      <c r="B5" s="440"/>
      <c r="D5" s="442" t="s">
        <v>98</v>
      </c>
      <c r="E5" s="443">
        <v>5.0999999999999997E-2</v>
      </c>
      <c r="G5" s="440"/>
    </row>
    <row r="6" spans="2:7">
      <c r="B6" s="440"/>
      <c r="D6" s="444" t="s">
        <v>100</v>
      </c>
      <c r="E6" s="445">
        <v>0.28000000000000003</v>
      </c>
      <c r="G6" s="440"/>
    </row>
    <row r="7" spans="2:7">
      <c r="B7" s="440"/>
      <c r="D7" s="444" t="s">
        <v>416</v>
      </c>
      <c r="E7" s="446">
        <v>0</v>
      </c>
      <c r="G7" s="440"/>
    </row>
    <row r="8" spans="2:7">
      <c r="B8" s="440"/>
      <c r="D8" s="444" t="s">
        <v>101</v>
      </c>
      <c r="E8" s="446">
        <v>1.0900000000000001</v>
      </c>
      <c r="G8" s="440"/>
    </row>
    <row r="9" spans="2:7">
      <c r="B9" s="440"/>
      <c r="D9" s="444" t="s">
        <v>417</v>
      </c>
      <c r="E9" s="446">
        <v>800</v>
      </c>
      <c r="G9" s="440"/>
    </row>
    <row r="10" spans="2:7">
      <c r="B10" s="440"/>
      <c r="D10" s="444" t="s">
        <v>448</v>
      </c>
      <c r="E10" s="447">
        <v>1500</v>
      </c>
      <c r="G10" s="440"/>
    </row>
    <row r="11" spans="2:7">
      <c r="B11" s="440"/>
      <c r="D11" s="444" t="s">
        <v>155</v>
      </c>
      <c r="E11" s="448">
        <v>500</v>
      </c>
      <c r="G11" s="440"/>
    </row>
    <row r="12" spans="2:7">
      <c r="B12" s="440"/>
      <c r="D12" s="444" t="s">
        <v>418</v>
      </c>
      <c r="E12" s="448">
        <v>100</v>
      </c>
      <c r="G12" s="440"/>
    </row>
    <row r="13" spans="2:7">
      <c r="B13" s="440"/>
      <c r="D13" s="444" t="s">
        <v>419</v>
      </c>
      <c r="E13" s="446">
        <v>30</v>
      </c>
      <c r="G13" s="440"/>
    </row>
    <row r="14" spans="2:7">
      <c r="B14" s="440"/>
      <c r="D14" s="444" t="s">
        <v>420</v>
      </c>
      <c r="E14" s="449">
        <v>13.9</v>
      </c>
      <c r="G14" s="440"/>
    </row>
    <row r="15" spans="2:7">
      <c r="B15" s="440"/>
      <c r="D15" s="444" t="s">
        <v>421</v>
      </c>
      <c r="E15" s="448">
        <v>20</v>
      </c>
      <c r="G15" s="440"/>
    </row>
    <row r="16" spans="2:7" ht="13.5" thickBot="1">
      <c r="B16" s="440"/>
      <c r="D16" s="450" t="s">
        <v>422</v>
      </c>
      <c r="E16" s="451">
        <v>246346</v>
      </c>
      <c r="G16" s="440"/>
    </row>
    <row r="17" spans="2:8" ht="13.5" thickBot="1">
      <c r="B17" s="440"/>
      <c r="G17" s="440"/>
    </row>
    <row r="18" spans="2:8" ht="15" thickBot="1">
      <c r="B18" s="440"/>
      <c r="D18" s="1117" t="s">
        <v>423</v>
      </c>
      <c r="E18" s="1118"/>
      <c r="G18" s="440"/>
    </row>
    <row r="19" spans="2:8" ht="15.75" thickTop="1" thickBot="1">
      <c r="B19" s="440"/>
      <c r="D19" s="452" t="s">
        <v>2</v>
      </c>
      <c r="E19" s="453" t="s">
        <v>103</v>
      </c>
      <c r="G19" s="440"/>
    </row>
    <row r="20" spans="2:8">
      <c r="B20" s="440"/>
      <c r="D20" s="454" t="s">
        <v>475</v>
      </c>
      <c r="E20" s="455">
        <v>0</v>
      </c>
      <c r="G20" s="440"/>
      <c r="H20" s="944" t="s">
        <v>476</v>
      </c>
    </row>
    <row r="21" spans="2:8">
      <c r="B21" s="440"/>
      <c r="D21" s="456" t="s">
        <v>105</v>
      </c>
      <c r="E21" s="457">
        <v>8000</v>
      </c>
      <c r="G21" s="440"/>
    </row>
    <row r="22" spans="2:8" ht="13.5" thickBot="1">
      <c r="B22" s="440"/>
      <c r="D22" s="458" t="s">
        <v>106</v>
      </c>
      <c r="E22" s="459">
        <v>5000</v>
      </c>
      <c r="G22" s="440"/>
    </row>
    <row r="23" spans="2:8">
      <c r="B23" s="440"/>
      <c r="G23" s="440"/>
    </row>
    <row r="24" spans="2:8" ht="7.5" customHeight="1">
      <c r="B24" s="440"/>
      <c r="C24" s="440"/>
      <c r="D24" s="440"/>
      <c r="E24" s="440"/>
      <c r="F24" s="440"/>
      <c r="G24" s="440"/>
    </row>
  </sheetData>
  <sheetProtection selectLockedCells="1"/>
  <mergeCells count="2">
    <mergeCell ref="D4:E4"/>
    <mergeCell ref="D18:E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583B4-59BA-43FD-8301-234A30A7D304}">
  <sheetPr codeName="Sheet17">
    <tabColor theme="3" tint="-0.499984740745262"/>
  </sheetPr>
  <dimension ref="A1:M83"/>
  <sheetViews>
    <sheetView zoomScale="80" zoomScaleNormal="80" workbookViewId="0">
      <selection activeCell="G13" sqref="G13"/>
    </sheetView>
  </sheetViews>
  <sheetFormatPr defaultColWidth="9.140625" defaultRowHeight="15"/>
  <cols>
    <col min="1" max="1" width="2.85546875" style="236" customWidth="1"/>
    <col min="2" max="2" width="47.5703125" style="236" customWidth="1"/>
    <col min="3" max="3" width="53.28515625" style="236" bestFit="1" customWidth="1"/>
    <col min="4" max="4" width="30.5703125" style="236" bestFit="1" customWidth="1"/>
    <col min="5" max="5" width="58.7109375" style="236" customWidth="1"/>
    <col min="6" max="6" width="32" style="236" customWidth="1"/>
    <col min="7" max="7" width="34.5703125" style="236" bestFit="1" customWidth="1"/>
    <col min="8" max="8" width="21.42578125" style="236" customWidth="1"/>
    <col min="9" max="9" width="32.7109375" style="236" customWidth="1"/>
    <col min="10" max="10" width="20.42578125" style="236" customWidth="1"/>
    <col min="11" max="11" width="18.5703125" style="236" customWidth="1"/>
    <col min="12" max="12" width="30.140625" style="236" bestFit="1" customWidth="1"/>
    <col min="13" max="13" width="15" style="236" customWidth="1"/>
    <col min="14" max="14" width="21.85546875" style="236" customWidth="1"/>
    <col min="15" max="15" width="14" style="236" customWidth="1"/>
    <col min="16" max="16" width="13.28515625" style="236" customWidth="1"/>
    <col min="17" max="20" width="21.5703125" style="236" customWidth="1"/>
    <col min="21" max="21" width="7.42578125" style="236" customWidth="1"/>
    <col min="22" max="22" width="8.7109375" style="236" bestFit="1" customWidth="1"/>
    <col min="23" max="16384" width="9.140625" style="236"/>
  </cols>
  <sheetData>
    <row r="1" spans="1:8" s="1114" customFormat="1">
      <c r="A1" s="1114" t="s">
        <v>424</v>
      </c>
    </row>
    <row r="2" spans="1:8" ht="16.5" customHeight="1" thickBot="1"/>
    <row r="3" spans="1:8" ht="15.75" thickBot="1">
      <c r="B3" s="1119" t="s">
        <v>97</v>
      </c>
      <c r="C3" s="1120"/>
      <c r="E3" s="960" t="s">
        <v>518</v>
      </c>
      <c r="F3" s="961"/>
      <c r="G3" s="962" t="s">
        <v>310</v>
      </c>
    </row>
    <row r="4" spans="1:8">
      <c r="B4" s="53" t="s">
        <v>98</v>
      </c>
      <c r="C4" s="54">
        <f>'Built-In Assumptions'!E5</f>
        <v>5.0999999999999997E-2</v>
      </c>
      <c r="E4" s="182" t="s">
        <v>309</v>
      </c>
      <c r="F4" s="963">
        <f>F5</f>
        <v>0</v>
      </c>
      <c r="G4" s="190">
        <v>30</v>
      </c>
      <c r="H4" s="257"/>
    </row>
    <row r="5" spans="1:8">
      <c r="B5" s="182" t="s">
        <v>360</v>
      </c>
      <c r="C5" s="192">
        <v>30</v>
      </c>
      <c r="E5" s="182" t="s">
        <v>591</v>
      </c>
      <c r="F5" s="971">
        <f>IF(Interface!E7=Validation!H66,'General Species Assumps'!D18,IF(Interface!E7=Validation!H67,'General Species Assumps'!D25,IF(Interface!E7=Validation!H69,'General Species Assumps'!D27,IF(Interface!E7=Validation!H68,'General Species Assumps'!D23,0))))</f>
        <v>0</v>
      </c>
      <c r="G5" s="57"/>
    </row>
    <row r="6" spans="1:8">
      <c r="B6" s="182" t="s">
        <v>99</v>
      </c>
      <c r="C6" s="436">
        <f>C4+1</f>
        <v>1.0509999999999999</v>
      </c>
      <c r="E6" s="182" t="s">
        <v>592</v>
      </c>
      <c r="F6" s="971">
        <f>IF(Interface!G7=Validation!F3,0,'General Species Assumps'!D20)</f>
        <v>37.5</v>
      </c>
      <c r="G6" s="57"/>
    </row>
    <row r="7" spans="1:8">
      <c r="B7" s="182" t="s">
        <v>100</v>
      </c>
      <c r="C7" s="56">
        <f>'Built-In Assumptions'!E6</f>
        <v>0.28000000000000003</v>
      </c>
      <c r="E7" s="182" t="s">
        <v>600</v>
      </c>
      <c r="F7" s="971">
        <f>'FEED and BIOMASS'!C13</f>
        <v>3</v>
      </c>
      <c r="G7" s="57"/>
    </row>
    <row r="8" spans="1:8" ht="15.75" thickBot="1">
      <c r="B8" s="182" t="s">
        <v>299</v>
      </c>
      <c r="C8" s="58">
        <f>'Built-In Assumptions'!E10</f>
        <v>1500</v>
      </c>
      <c r="E8" s="182" t="s">
        <v>601</v>
      </c>
      <c r="F8" s="971">
        <f>'FEED and BIOMASS'!I13</f>
        <v>0</v>
      </c>
      <c r="G8" s="57"/>
    </row>
    <row r="9" spans="1:8" ht="15.75" thickBot="1">
      <c r="B9" s="182" t="s">
        <v>340</v>
      </c>
      <c r="C9" s="59">
        <f>'Built-In Assumptions'!E7</f>
        <v>0</v>
      </c>
      <c r="E9" s="964" t="s">
        <v>520</v>
      </c>
      <c r="F9" s="965"/>
      <c r="G9" s="973" t="s">
        <v>526</v>
      </c>
    </row>
    <row r="10" spans="1:8">
      <c r="B10" s="182" t="s">
        <v>298</v>
      </c>
      <c r="C10" s="59">
        <f>'Built-In Assumptions'!E9</f>
        <v>800</v>
      </c>
      <c r="E10" s="182" t="s">
        <v>521</v>
      </c>
      <c r="F10" s="966">
        <v>40</v>
      </c>
      <c r="G10" s="190" t="e">
        <f>(Interface!J10/100)*'Production Assumptions'!F10</f>
        <v>#VALUE!</v>
      </c>
    </row>
    <row r="11" spans="1:8">
      <c r="B11" s="182" t="s">
        <v>101</v>
      </c>
      <c r="C11" s="59">
        <f>'Built-In Assumptions'!E8</f>
        <v>1.0900000000000001</v>
      </c>
      <c r="D11" s="236" t="s">
        <v>361</v>
      </c>
      <c r="E11" s="182" t="s">
        <v>522</v>
      </c>
      <c r="F11" s="967">
        <v>50</v>
      </c>
      <c r="G11" s="190" t="e">
        <f>(Interface!J10/100)*'Production Assumptions'!F11</f>
        <v>#VALUE!</v>
      </c>
    </row>
    <row r="12" spans="1:8">
      <c r="B12" s="182" t="s">
        <v>465</v>
      </c>
      <c r="C12" s="59" t="str">
        <f>Interface!I7</f>
        <v>&lt;Please select an appropriate selling price?&gt;</v>
      </c>
      <c r="E12" s="182" t="s">
        <v>523</v>
      </c>
      <c r="F12" s="967">
        <v>300</v>
      </c>
      <c r="G12" s="968" t="e">
        <f>F12*'Technical Information (RAS)'!K18</f>
        <v>#VALUE!</v>
      </c>
    </row>
    <row r="13" spans="1:8" ht="15.75" thickBot="1">
      <c r="B13" s="182" t="s">
        <v>341</v>
      </c>
      <c r="C13" s="59">
        <f>'Built-In Assumptions'!E16</f>
        <v>246346</v>
      </c>
      <c r="E13" s="60" t="s">
        <v>524</v>
      </c>
      <c r="F13" s="969">
        <v>500</v>
      </c>
      <c r="G13" s="970" t="e">
        <f>F13*'Technical Information (RAS)'!K18</f>
        <v>#VALUE!</v>
      </c>
    </row>
    <row r="14" spans="1:8" ht="15.75" thickBot="1">
      <c r="A14" s="307"/>
      <c r="B14" s="308" t="s">
        <v>336</v>
      </c>
      <c r="C14" s="1080">
        <f>IF(Interface!E19=Validation!H66,6,5)</f>
        <v>5</v>
      </c>
    </row>
    <row r="15" spans="1:8">
      <c r="A15" s="307"/>
      <c r="B15" s="182" t="s">
        <v>369</v>
      </c>
      <c r="C15" s="306" t="str">
        <f>Interface!G37</f>
        <v>80%</v>
      </c>
      <c r="E15" s="258" t="s">
        <v>603</v>
      </c>
      <c r="F15" s="940" t="s">
        <v>602</v>
      </c>
      <c r="G15" s="940" t="s">
        <v>3</v>
      </c>
    </row>
    <row r="16" spans="1:8">
      <c r="A16" s="307"/>
      <c r="B16" s="182" t="s">
        <v>377</v>
      </c>
      <c r="C16" s="56">
        <f>1-C15</f>
        <v>0.19999999999999996</v>
      </c>
      <c r="E16" s="182" t="str">
        <f>'Technical Information (RAS)'!J4</f>
        <v>Electricity Per tank (kWh/day)</v>
      </c>
      <c r="F16" s="943">
        <f>'Technical Information (RAS)'!K4</f>
        <v>1.3</v>
      </c>
      <c r="G16" s="941"/>
    </row>
    <row r="17" spans="1:10" ht="15.75" thickBot="1">
      <c r="A17" s="307"/>
      <c r="B17" s="60" t="s">
        <v>335</v>
      </c>
      <c r="C17" s="181">
        <f>C16/C14</f>
        <v>3.9999999999999994E-2</v>
      </c>
      <c r="E17" s="182" t="str">
        <f>'Technical Information (RAS)'!J5</f>
        <v>Electricity Per tank (kWh/month)</v>
      </c>
      <c r="F17" s="943">
        <f>F16*30</f>
        <v>39</v>
      </c>
      <c r="G17" s="942"/>
    </row>
    <row r="18" spans="1:10" ht="15.75" thickBot="1">
      <c r="E18" s="182" t="str">
        <f>'Technical Information (RAS)'!J6</f>
        <v>Total Electricity Breeding Tanks/month</v>
      </c>
      <c r="F18" s="943" t="e">
        <f>F17*CAPEX!E14</f>
        <v>#VALUE!</v>
      </c>
      <c r="G18" s="942"/>
    </row>
    <row r="19" spans="1:10" ht="15.75" thickBot="1">
      <c r="B19" s="55"/>
      <c r="C19" s="305"/>
      <c r="E19" s="1083" t="str">
        <f>'Technical Information (RAS)'!J7</f>
        <v>Cost breeding tanks/month</v>
      </c>
      <c r="F19" s="1084"/>
      <c r="G19" s="1085" t="e">
        <f>F18*C11</f>
        <v>#VALUE!</v>
      </c>
    </row>
    <row r="20" spans="1:10" ht="15.75" thickBot="1">
      <c r="A20" s="307"/>
      <c r="E20" s="258" t="s">
        <v>604</v>
      </c>
      <c r="F20" s="940" t="s">
        <v>602</v>
      </c>
      <c r="G20" s="940" t="s">
        <v>3</v>
      </c>
    </row>
    <row r="21" spans="1:10" ht="15.75" thickBot="1">
      <c r="A21" s="307"/>
      <c r="E21" s="1086" t="str">
        <f>'Technical Information (POND)'!J4</f>
        <v>Electricity Per pond(kWh/day)</v>
      </c>
      <c r="F21" s="1087">
        <f>'Technical Information (POND)'!K4</f>
        <v>75</v>
      </c>
      <c r="G21" s="1088"/>
    </row>
    <row r="22" spans="1:10">
      <c r="A22" s="307"/>
      <c r="B22" s="193" t="s">
        <v>332</v>
      </c>
      <c r="C22" s="194" t="s">
        <v>3</v>
      </c>
      <c r="E22" s="1089" t="str">
        <f>'Technical Information (POND)'!J5</f>
        <v>Electricity Per pond (kWh/month)</v>
      </c>
      <c r="F22" s="943">
        <f>F21*30</f>
        <v>2250</v>
      </c>
      <c r="G22" s="1090"/>
    </row>
    <row r="23" spans="1:10" ht="15.75" thickBot="1">
      <c r="A23" s="307"/>
      <c r="B23" s="938" t="s">
        <v>395</v>
      </c>
      <c r="C23" s="195"/>
      <c r="E23" s="1089" t="str">
        <f>'Technical Information (POND)'!J6</f>
        <v>Total Electricity /month</v>
      </c>
      <c r="F23" s="943" t="e">
        <f>F22*'Technical Information (POND)'!K17</f>
        <v>#VALUE!</v>
      </c>
      <c r="G23" s="1090"/>
    </row>
    <row r="24" spans="1:10" ht="15.75" thickBot="1">
      <c r="A24" s="261"/>
      <c r="B24" s="938"/>
      <c r="C24" s="195"/>
      <c r="E24" s="1083" t="str">
        <f>'Technical Information (POND)'!J7</f>
        <v>Cost electricity/month</v>
      </c>
      <c r="F24" s="1084"/>
      <c r="G24" s="1085" t="e">
        <f>F23*C11</f>
        <v>#VALUE!</v>
      </c>
    </row>
    <row r="25" spans="1:10" ht="15.75" thickBot="1">
      <c r="B25" s="933"/>
      <c r="C25" s="196"/>
      <c r="E25" s="64"/>
      <c r="F25" s="63"/>
      <c r="G25" s="65"/>
    </row>
    <row r="26" spans="1:10">
      <c r="E26" s="64"/>
      <c r="F26" s="63"/>
      <c r="G26" s="65"/>
    </row>
    <row r="27" spans="1:10">
      <c r="A27" s="262"/>
      <c r="E27" s="64"/>
      <c r="F27" s="63"/>
      <c r="G27" s="65"/>
    </row>
    <row r="28" spans="1:10" ht="15.75" thickBot="1">
      <c r="E28" s="64"/>
      <c r="F28" s="63"/>
      <c r="G28" s="65"/>
    </row>
    <row r="29" spans="1:10" ht="16.5" thickTop="1" thickBot="1">
      <c r="B29" s="259" t="s">
        <v>102</v>
      </c>
      <c r="C29" s="235"/>
      <c r="D29" s="235"/>
      <c r="E29" s="263" t="s">
        <v>56</v>
      </c>
      <c r="F29" s="266" t="s">
        <v>375</v>
      </c>
      <c r="G29" s="264"/>
      <c r="H29" s="268" t="s">
        <v>57</v>
      </c>
      <c r="I29" s="269" t="s">
        <v>375</v>
      </c>
      <c r="J29" s="256"/>
    </row>
    <row r="30" spans="1:10" ht="16.5" customHeight="1" thickTop="1" thickBot="1">
      <c r="A30" s="262"/>
      <c r="B30" s="259" t="s">
        <v>2</v>
      </c>
      <c r="C30" s="982" t="s">
        <v>103</v>
      </c>
      <c r="D30" s="982" t="s">
        <v>104</v>
      </c>
      <c r="E30" s="979" t="s">
        <v>376</v>
      </c>
      <c r="F30" s="267" t="str">
        <f>Interface!$J$7</f>
        <v>&lt;Select number of fish to produce per annum&gt;</v>
      </c>
      <c r="G30" s="265"/>
      <c r="H30" s="270" t="s">
        <v>376</v>
      </c>
      <c r="I30" s="271" t="str">
        <f>Interface!$J$7</f>
        <v>&lt;Select number of fish to produce per annum&gt;</v>
      </c>
      <c r="J30" s="272"/>
    </row>
    <row r="31" spans="1:10" ht="18.75" customHeight="1">
      <c r="A31" s="262"/>
      <c r="B31" s="66" t="s">
        <v>475</v>
      </c>
      <c r="C31" s="983">
        <f>'Built-In Assumptions'!E20</f>
        <v>0</v>
      </c>
      <c r="D31" s="986"/>
      <c r="E31" s="980">
        <f>1/10000000</f>
        <v>9.9999999999999995E-8</v>
      </c>
      <c r="G31" s="172" t="e">
        <f>E31*$F$30</f>
        <v>#VALUE!</v>
      </c>
      <c r="H31" s="394">
        <f>E31</f>
        <v>9.9999999999999995E-8</v>
      </c>
      <c r="I31" s="67"/>
      <c r="J31" s="192" t="e">
        <f>H31*$F$30</f>
        <v>#VALUE!</v>
      </c>
    </row>
    <row r="32" spans="1:10">
      <c r="A32" s="262"/>
      <c r="B32" s="68" t="s">
        <v>105</v>
      </c>
      <c r="C32" s="984">
        <f>'Built-In Assumptions'!E21</f>
        <v>8000</v>
      </c>
      <c r="D32" s="987"/>
      <c r="E32" s="980">
        <f>2/1000000</f>
        <v>1.9999999999999999E-6</v>
      </c>
      <c r="F32" s="67" t="e">
        <f>IF($F$30&lt;25000,0,ROUNDUP((1+G31),1))</f>
        <v>#VALUE!</v>
      </c>
      <c r="G32" s="173" t="e">
        <f>E32*$F$30</f>
        <v>#VALUE!</v>
      </c>
      <c r="H32" s="394">
        <f>2/1000000</f>
        <v>1.9999999999999999E-6</v>
      </c>
      <c r="I32" s="67" t="e">
        <f>IF($I$30&lt;=25000,0,ROUNDUP((1+J32),1))</f>
        <v>#VALUE!</v>
      </c>
      <c r="J32" s="192" t="e">
        <f>H32*$F$30</f>
        <v>#VALUE!</v>
      </c>
    </row>
    <row r="33" spans="2:13" ht="15.75" thickBot="1">
      <c r="B33" s="68" t="s">
        <v>106</v>
      </c>
      <c r="C33" s="984">
        <f>'Built-In Assumptions'!E22</f>
        <v>5000</v>
      </c>
      <c r="D33" s="988"/>
      <c r="E33" s="980">
        <f>5/1000000</f>
        <v>5.0000000000000004E-6</v>
      </c>
      <c r="F33" s="67">
        <v>1</v>
      </c>
      <c r="G33" s="173" t="e">
        <f>E33*$F$30</f>
        <v>#VALUE!</v>
      </c>
      <c r="H33" s="394">
        <f>10/1000000</f>
        <v>1.0000000000000001E-5</v>
      </c>
      <c r="I33" s="67">
        <v>1</v>
      </c>
      <c r="J33" s="192" t="e">
        <f>H33*$F$30</f>
        <v>#VALUE!</v>
      </c>
    </row>
    <row r="34" spans="2:13" ht="15.75" thickBot="1">
      <c r="B34" s="50"/>
      <c r="C34" s="985">
        <f>SUM(C31:C33)</f>
        <v>13000</v>
      </c>
      <c r="D34" s="989"/>
      <c r="E34" s="981" t="s">
        <v>295</v>
      </c>
      <c r="F34" s="51" t="e">
        <f>ROUNDDOWN(F32+F33,0)</f>
        <v>#VALUE!</v>
      </c>
      <c r="G34" s="52"/>
      <c r="H34" s="50" t="s">
        <v>295</v>
      </c>
      <c r="I34" s="51" t="e">
        <f>ROUNDDOWN(I33+I32+I31,0)</f>
        <v>#VALUE!</v>
      </c>
      <c r="J34" s="52"/>
    </row>
    <row r="35" spans="2:13" ht="15.75" thickBot="1"/>
    <row r="36" spans="2:13" ht="24" thickBot="1">
      <c r="B36" s="1121" t="s">
        <v>109</v>
      </c>
      <c r="C36" s="1122"/>
      <c r="D36" s="287"/>
    </row>
    <row r="37" spans="2:13" ht="15.75">
      <c r="B37" s="288"/>
      <c r="C37" s="289" t="s">
        <v>110</v>
      </c>
      <c r="D37" s="290" t="s">
        <v>111</v>
      </c>
      <c r="K37" s="69"/>
      <c r="L37" s="69"/>
      <c r="M37" s="69"/>
    </row>
    <row r="38" spans="2:13" ht="16.5" thickBot="1">
      <c r="B38" s="288"/>
      <c r="C38" s="332">
        <v>12</v>
      </c>
      <c r="D38" s="333">
        <v>1</v>
      </c>
      <c r="E38" s="69"/>
      <c r="F38" s="69"/>
      <c r="G38" s="69"/>
      <c r="H38" s="69"/>
      <c r="I38" s="69"/>
      <c r="J38" s="69"/>
      <c r="K38" s="69"/>
      <c r="L38" s="69"/>
      <c r="M38" s="69"/>
    </row>
    <row r="39" spans="2:13" ht="16.5" thickBot="1">
      <c r="B39" s="291"/>
      <c r="C39" s="292"/>
      <c r="D39" s="293"/>
      <c r="E39" s="69"/>
      <c r="F39" s="69"/>
      <c r="G39" s="69"/>
      <c r="H39" s="69"/>
      <c r="I39" s="70"/>
      <c r="J39" s="69"/>
      <c r="K39" s="70"/>
      <c r="L39" s="70"/>
      <c r="M39" s="70"/>
    </row>
    <row r="40" spans="2:13" ht="15.75" thickBot="1">
      <c r="B40" s="71" t="s">
        <v>367</v>
      </c>
      <c r="C40" s="72"/>
      <c r="D40" s="260"/>
      <c r="E40" s="69"/>
      <c r="F40" s="69"/>
      <c r="G40" s="69"/>
      <c r="H40" s="70"/>
      <c r="I40" s="70"/>
      <c r="J40" s="70"/>
      <c r="K40" s="70"/>
      <c r="L40" s="70"/>
    </row>
    <row r="41" spans="2:13" ht="15.75" thickBot="1">
      <c r="B41" s="71"/>
      <c r="C41" s="72"/>
      <c r="D41" s="260"/>
      <c r="E41" s="69"/>
      <c r="F41" s="73"/>
      <c r="G41" s="70"/>
      <c r="H41" s="70"/>
      <c r="I41" s="70"/>
      <c r="J41" s="70"/>
      <c r="K41" s="150" t="s">
        <v>120</v>
      </c>
      <c r="L41" s="151" t="s">
        <v>121</v>
      </c>
    </row>
    <row r="42" spans="2:13" ht="15.75" thickBot="1">
      <c r="B42" s="149"/>
      <c r="C42" s="150" t="s">
        <v>112</v>
      </c>
      <c r="D42" s="150" t="s">
        <v>113</v>
      </c>
      <c r="E42" s="150" t="s">
        <v>114</v>
      </c>
      <c r="F42" s="150" t="s">
        <v>115</v>
      </c>
      <c r="G42" s="150" t="s">
        <v>116</v>
      </c>
      <c r="H42" s="150" t="s">
        <v>117</v>
      </c>
      <c r="I42" s="150" t="s">
        <v>118</v>
      </c>
      <c r="J42" s="150" t="s">
        <v>119</v>
      </c>
      <c r="K42" s="74">
        <f>'IS - RAS'!L7</f>
        <v>0</v>
      </c>
      <c r="L42" s="152">
        <f>'IS - RAS'!M7</f>
        <v>0</v>
      </c>
    </row>
    <row r="43" spans="2:13" ht="15.75" thickBot="1">
      <c r="B43" s="68" t="s">
        <v>122</v>
      </c>
      <c r="C43" s="74">
        <f>'IS - RAS'!D7</f>
        <v>0</v>
      </c>
      <c r="D43" s="74">
        <f>'IS - RAS'!E7</f>
        <v>0</v>
      </c>
      <c r="E43" s="74">
        <f>'IS - RAS'!F7</f>
        <v>0</v>
      </c>
      <c r="F43" s="74">
        <f>'IS - RAS'!G7</f>
        <v>0</v>
      </c>
      <c r="G43" s="74">
        <f>'IS - RAS'!H7</f>
        <v>0</v>
      </c>
      <c r="H43" s="74">
        <f>'IS - RAS'!I7</f>
        <v>0</v>
      </c>
      <c r="I43" s="74">
        <f>'IS - RAS'!J7</f>
        <v>0</v>
      </c>
      <c r="J43" s="74">
        <f>'IS - RAS'!K7</f>
        <v>0</v>
      </c>
      <c r="K43" s="76">
        <f>(($C$38-$D$38)/$C$38*K42+($D$38/$C$38)*J43)</f>
        <v>0</v>
      </c>
      <c r="L43" s="76">
        <f>(($C$38-$D$38)/$C$38*L42+($D$38/$C$38)*K42)</f>
        <v>0</v>
      </c>
    </row>
    <row r="44" spans="2:13" ht="15.75" thickBot="1">
      <c r="B44" s="75" t="s">
        <v>123</v>
      </c>
      <c r="C44" s="76">
        <f>(($C$38-$D$38)/$C$38*C43+($D$38/$C$38)*C46)</f>
        <v>0</v>
      </c>
      <c r="D44" s="76">
        <f t="shared" ref="D44:J44" si="0">(($C$38-$D$38)/$C$38*D43+($D$38/$C$38)*C43)</f>
        <v>0</v>
      </c>
      <c r="E44" s="76">
        <f t="shared" si="0"/>
        <v>0</v>
      </c>
      <c r="F44" s="76">
        <f t="shared" si="0"/>
        <v>0</v>
      </c>
      <c r="G44" s="76">
        <f t="shared" si="0"/>
        <v>0</v>
      </c>
      <c r="H44" s="76">
        <f t="shared" si="0"/>
        <v>0</v>
      </c>
      <c r="I44" s="76">
        <f t="shared" si="0"/>
        <v>0</v>
      </c>
      <c r="J44" s="76">
        <f t="shared" si="0"/>
        <v>0</v>
      </c>
      <c r="K44" s="78">
        <f>J45+K42-K43</f>
        <v>0</v>
      </c>
      <c r="L44" s="78">
        <f t="shared" ref="F44:L45" si="1">K44+L42-L43</f>
        <v>0</v>
      </c>
    </row>
    <row r="45" spans="2:13" ht="15.75" thickBot="1">
      <c r="B45" s="77" t="s">
        <v>124</v>
      </c>
      <c r="C45" s="78">
        <f>C43-C44</f>
        <v>0</v>
      </c>
      <c r="D45" s="78">
        <f>C45+D43-D44</f>
        <v>0</v>
      </c>
      <c r="E45" s="78">
        <f>D45+E43-E44</f>
        <v>0</v>
      </c>
      <c r="F45" s="78">
        <f t="shared" si="1"/>
        <v>0</v>
      </c>
      <c r="G45" s="78">
        <f t="shared" si="1"/>
        <v>0</v>
      </c>
      <c r="H45" s="78">
        <f>G45+H43-H44</f>
        <v>0</v>
      </c>
      <c r="I45" s="78">
        <f t="shared" si="1"/>
        <v>0</v>
      </c>
      <c r="J45" s="78">
        <f t="shared" si="1"/>
        <v>0</v>
      </c>
    </row>
    <row r="46" spans="2:13" ht="15.75" thickBot="1"/>
    <row r="47" spans="2:13" ht="24" thickBot="1">
      <c r="B47" s="1123" t="s">
        <v>125</v>
      </c>
      <c r="C47" s="1124"/>
      <c r="D47" s="294"/>
    </row>
    <row r="48" spans="2:13" ht="15.75">
      <c r="B48" s="295"/>
      <c r="C48" s="296" t="s">
        <v>110</v>
      </c>
      <c r="D48" s="297" t="s">
        <v>111</v>
      </c>
      <c r="K48" s="69"/>
      <c r="L48" s="69"/>
      <c r="M48" s="69"/>
    </row>
    <row r="49" spans="1:13" ht="18" customHeight="1" thickBot="1">
      <c r="B49" s="295"/>
      <c r="C49" s="330">
        <v>12</v>
      </c>
      <c r="D49" s="331">
        <v>1</v>
      </c>
      <c r="E49" s="69"/>
      <c r="F49" s="69"/>
      <c r="G49" s="69"/>
      <c r="H49" s="69"/>
      <c r="I49" s="69"/>
      <c r="J49" s="69"/>
      <c r="K49" s="69"/>
      <c r="L49" s="69"/>
      <c r="M49" s="69"/>
    </row>
    <row r="50" spans="1:13" ht="18" customHeight="1" thickBot="1">
      <c r="B50" s="298"/>
      <c r="C50" s="299"/>
      <c r="D50" s="300"/>
      <c r="E50" s="69"/>
      <c r="F50" s="69"/>
      <c r="G50" s="69"/>
      <c r="H50" s="69"/>
      <c r="I50" s="70"/>
      <c r="J50" s="69"/>
      <c r="K50" s="70"/>
      <c r="L50" s="70"/>
      <c r="M50" s="70"/>
    </row>
    <row r="51" spans="1:13" ht="15.75" thickBot="1">
      <c r="B51" s="71" t="s">
        <v>367</v>
      </c>
      <c r="C51" s="72"/>
      <c r="D51" s="260"/>
      <c r="E51" s="69"/>
      <c r="F51" s="69"/>
      <c r="G51" s="69"/>
      <c r="H51" s="70"/>
      <c r="I51" s="70"/>
      <c r="J51" s="70"/>
      <c r="K51" s="70"/>
      <c r="L51" s="70"/>
    </row>
    <row r="52" spans="1:13" ht="15.75" thickBot="1">
      <c r="B52" s="71"/>
      <c r="C52" s="72"/>
      <c r="D52" s="260"/>
      <c r="E52" s="69"/>
      <c r="F52" s="73"/>
      <c r="G52" s="70"/>
      <c r="H52" s="70"/>
      <c r="I52" s="70"/>
      <c r="J52" s="70"/>
      <c r="K52" s="150" t="s">
        <v>120</v>
      </c>
      <c r="L52" s="151" t="s">
        <v>121</v>
      </c>
    </row>
    <row r="53" spans="1:13" ht="15.75" thickBot="1">
      <c r="B53" s="149"/>
      <c r="C53" s="150" t="s">
        <v>112</v>
      </c>
      <c r="D53" s="150" t="s">
        <v>113</v>
      </c>
      <c r="E53" s="150" t="s">
        <v>114</v>
      </c>
      <c r="F53" s="150" t="s">
        <v>115</v>
      </c>
      <c r="G53" s="150" t="s">
        <v>116</v>
      </c>
      <c r="H53" s="150" t="s">
        <v>117</v>
      </c>
      <c r="I53" s="150" t="s">
        <v>118</v>
      </c>
      <c r="J53" s="150" t="s">
        <v>119</v>
      </c>
      <c r="K53" s="74" t="e">
        <f>'IS - Pond'!L7</f>
        <v>#VALUE!</v>
      </c>
      <c r="L53" s="153" t="e">
        <f>'IS - Pond'!M7</f>
        <v>#VALUE!</v>
      </c>
    </row>
    <row r="54" spans="1:13" ht="15.75" thickBot="1">
      <c r="B54" s="68" t="s">
        <v>122</v>
      </c>
      <c r="C54" s="74" t="e">
        <f>'IS - Pond'!D7</f>
        <v>#VALUE!</v>
      </c>
      <c r="D54" s="74" t="e">
        <f>'IS - Pond'!E7</f>
        <v>#VALUE!</v>
      </c>
      <c r="E54" s="74" t="e">
        <f>'IS - Pond'!F7</f>
        <v>#VALUE!</v>
      </c>
      <c r="F54" s="74" t="e">
        <f>'IS - Pond'!G7</f>
        <v>#VALUE!</v>
      </c>
      <c r="G54" s="74" t="e">
        <f>'IS - Pond'!H7</f>
        <v>#VALUE!</v>
      </c>
      <c r="H54" s="74" t="e">
        <f>'IS - Pond'!I7</f>
        <v>#VALUE!</v>
      </c>
      <c r="I54" s="74" t="e">
        <f>'IS - Pond'!J7</f>
        <v>#VALUE!</v>
      </c>
      <c r="J54" s="74" t="e">
        <f>'IS - Pond'!K7</f>
        <v>#VALUE!</v>
      </c>
      <c r="K54" s="76" t="e">
        <f>(($C$38-$D$38)/$C$38*K53+($D$38/$C$38)*J54)</f>
        <v>#VALUE!</v>
      </c>
      <c r="L54" s="76" t="e">
        <f>(($C$38-$D$38)/$C$38*L53+($D$38/$C$38)*K53)</f>
        <v>#VALUE!</v>
      </c>
    </row>
    <row r="55" spans="1:13" ht="15.75" thickBot="1">
      <c r="B55" s="75" t="s">
        <v>123</v>
      </c>
      <c r="C55" s="76" t="e">
        <f>(($C$49-$D$49)/$C$49*C54+($D$49/$C$49)*C57)</f>
        <v>#VALUE!</v>
      </c>
      <c r="D55" s="76" t="e">
        <f t="shared" ref="D55:J55" si="2">(($C$38-$D$38)/$C$38*D54+($D$38/$C$38)*C54)</f>
        <v>#VALUE!</v>
      </c>
      <c r="E55" s="76" t="e">
        <f t="shared" si="2"/>
        <v>#VALUE!</v>
      </c>
      <c r="F55" s="76" t="e">
        <f t="shared" si="2"/>
        <v>#VALUE!</v>
      </c>
      <c r="G55" s="76" t="e">
        <f t="shared" si="2"/>
        <v>#VALUE!</v>
      </c>
      <c r="H55" s="76" t="e">
        <f t="shared" si="2"/>
        <v>#VALUE!</v>
      </c>
      <c r="I55" s="76" t="e">
        <f t="shared" si="2"/>
        <v>#VALUE!</v>
      </c>
      <c r="J55" s="76" t="e">
        <f t="shared" si="2"/>
        <v>#VALUE!</v>
      </c>
      <c r="K55" s="79" t="e">
        <f>J56+K53-K54</f>
        <v>#VALUE!</v>
      </c>
      <c r="L55" s="79" t="e">
        <f t="shared" ref="F55:L56" si="3">K55+L53-L54</f>
        <v>#VALUE!</v>
      </c>
    </row>
    <row r="56" spans="1:13" ht="15.75" thickBot="1">
      <c r="B56" s="77" t="s">
        <v>124</v>
      </c>
      <c r="C56" s="78" t="e">
        <f>C54-C55</f>
        <v>#VALUE!</v>
      </c>
      <c r="D56" s="78" t="e">
        <f>C56+D54-D55</f>
        <v>#VALUE!</v>
      </c>
      <c r="E56" s="79" t="e">
        <f>D56+E54-E55</f>
        <v>#VALUE!</v>
      </c>
      <c r="F56" s="79" t="e">
        <f t="shared" si="3"/>
        <v>#VALUE!</v>
      </c>
      <c r="G56" s="79" t="e">
        <f t="shared" si="3"/>
        <v>#VALUE!</v>
      </c>
      <c r="H56" s="79" t="e">
        <f>G56+H54-H55</f>
        <v>#VALUE!</v>
      </c>
      <c r="I56" s="79" t="e">
        <f t="shared" si="3"/>
        <v>#VALUE!</v>
      </c>
      <c r="J56" s="79" t="e">
        <f t="shared" si="3"/>
        <v>#VALUE!</v>
      </c>
    </row>
    <row r="58" spans="1:13" ht="15.75" thickBot="1"/>
    <row r="59" spans="1:13" ht="15.75" thickBot="1">
      <c r="B59" s="93" t="s">
        <v>314</v>
      </c>
      <c r="C59" s="326"/>
    </row>
    <row r="60" spans="1:13">
      <c r="A60" s="262"/>
      <c r="B60" s="53" t="s">
        <v>311</v>
      </c>
      <c r="C60" s="327">
        <v>0.02</v>
      </c>
    </row>
    <row r="61" spans="1:13">
      <c r="B61" s="182" t="s">
        <v>356</v>
      </c>
      <c r="C61" s="192">
        <f>IF(Interface!$E$19=Validation!$D$46,3,IF(Interface!$E$19=Validation!$D$45,2.5,IF(Interface!$E$19=Validation!$D$44,2,IF(Interface!$E$19=Validation!$D$43,1.75,IF(Interface!$E$19=Validation!$D$42,1.5,IF(Interface!$E$19=Validation!$D$41,0.75,IF(Interface!$E$19=Validation!$D$40,0.4,IF(Interface!$E$19=Validation!#REF!,0.02,#REF!))))))))</f>
        <v>1.5</v>
      </c>
    </row>
    <row r="62" spans="1:13">
      <c r="B62" s="234" t="s">
        <v>326</v>
      </c>
      <c r="C62" s="328" t="e">
        <f>D80</f>
        <v>#VALUE!</v>
      </c>
    </row>
    <row r="63" spans="1:13">
      <c r="B63" s="182" t="s">
        <v>312</v>
      </c>
      <c r="C63" s="192">
        <f>IF(Interface!$J$7&lt;=10000,400,IF(Interface!$J$7&lt;25000,600,800))</f>
        <v>800</v>
      </c>
    </row>
    <row r="64" spans="1:13">
      <c r="B64" s="182" t="s">
        <v>313</v>
      </c>
      <c r="C64" s="192">
        <v>0.02</v>
      </c>
    </row>
    <row r="65" spans="1:12">
      <c r="B65" s="182" t="s">
        <v>155</v>
      </c>
      <c r="C65" s="192">
        <f>'Built-In Assumptions'!E11</f>
        <v>500</v>
      </c>
    </row>
    <row r="66" spans="1:12">
      <c r="B66" s="182" t="s">
        <v>156</v>
      </c>
      <c r="C66" s="192">
        <f>'Built-In Assumptions'!E12</f>
        <v>100</v>
      </c>
    </row>
    <row r="67" spans="1:12">
      <c r="B67" s="182" t="s">
        <v>157</v>
      </c>
      <c r="C67" s="329">
        <v>500</v>
      </c>
      <c r="G67" s="257"/>
    </row>
    <row r="68" spans="1:12">
      <c r="B68" s="182" t="s">
        <v>315</v>
      </c>
      <c r="C68" s="192">
        <v>2.5000000000000001E-2</v>
      </c>
      <c r="H68" s="398"/>
      <c r="L68" s="283"/>
    </row>
    <row r="69" spans="1:12">
      <c r="B69" s="182" t="s">
        <v>300</v>
      </c>
      <c r="C69" s="329">
        <f>IF(Interface!$J$7&lt;=15000,C8,IF(Interface!J7&lt;=35000,C8*1.1,C8*1.3))</f>
        <v>1950</v>
      </c>
    </row>
    <row r="70" spans="1:12">
      <c r="B70" s="182" t="s">
        <v>316</v>
      </c>
      <c r="C70" s="192">
        <v>0.01</v>
      </c>
    </row>
    <row r="71" spans="1:12">
      <c r="B71" s="182" t="s">
        <v>158</v>
      </c>
      <c r="C71" s="192">
        <f>A74/100</f>
        <v>1.9E-2</v>
      </c>
      <c r="D71" s="187"/>
    </row>
    <row r="72" spans="1:12">
      <c r="B72" s="182" t="s">
        <v>317</v>
      </c>
      <c r="C72" s="192">
        <v>2E-3</v>
      </c>
    </row>
    <row r="73" spans="1:12">
      <c r="B73" s="182" t="s">
        <v>159</v>
      </c>
      <c r="C73" s="329" t="e">
        <f>IF(Interface!$J$7&lt;10000,500,500*(1+(0.01*Interface!$J$7/1000)))</f>
        <v>#VALUE!</v>
      </c>
    </row>
    <row r="74" spans="1:12">
      <c r="A74" s="236">
        <f>1.9</f>
        <v>1.9</v>
      </c>
      <c r="B74" s="182" t="s">
        <v>318</v>
      </c>
      <c r="C74" s="192">
        <v>0.01</v>
      </c>
    </row>
    <row r="75" spans="1:12">
      <c r="B75" s="182" t="s">
        <v>319</v>
      </c>
      <c r="C75" s="192">
        <f>IF(Interface!$J$7&lt;4,0.01,0.02)</f>
        <v>0.02</v>
      </c>
    </row>
    <row r="76" spans="1:12" ht="15.75" thickBot="1">
      <c r="B76" s="909" t="s">
        <v>327</v>
      </c>
      <c r="C76" s="910" t="e">
        <f>D81</f>
        <v>#VALUE!</v>
      </c>
    </row>
    <row r="77" spans="1:12" ht="15.75" thickBot="1">
      <c r="B77" s="182" t="s">
        <v>339</v>
      </c>
      <c r="C77" s="189">
        <v>1000</v>
      </c>
    </row>
    <row r="78" spans="1:12">
      <c r="B78" s="53" t="s">
        <v>363</v>
      </c>
      <c r="C78" s="286">
        <v>1.4600000000000001E-7</v>
      </c>
      <c r="D78" s="974"/>
    </row>
    <row r="79" spans="1:12">
      <c r="B79" s="182" t="s">
        <v>362</v>
      </c>
      <c r="C79" s="55">
        <f>C78/2</f>
        <v>7.3000000000000005E-8</v>
      </c>
      <c r="D79" s="975"/>
      <c r="K79" s="399"/>
    </row>
    <row r="80" spans="1:12">
      <c r="B80" s="182" t="s">
        <v>364</v>
      </c>
      <c r="C80" s="55" t="e">
        <f>IF(OR(Interface!$F$7=Validation!$D$14,Interface!$F$7=Validation!$D$15,Interface!$F$7=Validation!$D$22,Interface!$F$7=Validation!$D$16),120,IF(OR(Interface!$F$7=Validation!$D$17,Interface!$F$7=Validation!$D$18,Interface!$F$7=Validation!$D$19,Interface!$F$7=Validation!$D$21),180,200))*((Interface!$J$7/1000)/10)</f>
        <v>#VALUE!</v>
      </c>
      <c r="D80" s="976" t="e">
        <f>(C83*C80)+(C82*C79)</f>
        <v>#VALUE!</v>
      </c>
      <c r="F80" s="346"/>
      <c r="G80" s="346"/>
      <c r="H80" s="346"/>
      <c r="I80" s="346"/>
      <c r="J80" s="346"/>
      <c r="K80" s="399"/>
    </row>
    <row r="81" spans="2:11">
      <c r="B81" s="182" t="s">
        <v>365</v>
      </c>
      <c r="C81" s="55" t="e">
        <f>IF(OR(Interface!$F$7=Validation!$D$14,Interface!$F$7=Validation!$D$15,Interface!$F$7=Validation!$D$22,Interface!$F$7=Validation!$D$16),240,IF(OR(Interface!$F$7=Validation!$D$17,Interface!$F$7=Validation!$D$18,Interface!$F$7=Validation!$D$19,Interface!$F$7=Validation!$D$21),350,500))*((Interface!$J$7/1000)/5)</f>
        <v>#VALUE!</v>
      </c>
      <c r="D81" s="976" t="e">
        <f>(C83*C81)+(C82*C79)</f>
        <v>#VALUE!</v>
      </c>
      <c r="F81" s="346"/>
      <c r="G81" s="346"/>
      <c r="H81" s="346"/>
      <c r="I81" s="346"/>
      <c r="J81" s="346"/>
      <c r="K81" s="399"/>
    </row>
    <row r="82" spans="2:11">
      <c r="B82" s="182" t="s">
        <v>383</v>
      </c>
      <c r="C82" s="285" t="str">
        <f>Interface!$J$7</f>
        <v>&lt;Select number of fish to produce per annum&gt;</v>
      </c>
      <c r="D82" s="975"/>
      <c r="F82" s="346"/>
      <c r="G82" s="346"/>
      <c r="H82" s="346"/>
      <c r="I82" s="346"/>
      <c r="J82" s="346"/>
      <c r="K82" s="399"/>
    </row>
    <row r="83" spans="2:11" ht="15.75" thickBot="1">
      <c r="B83" s="60" t="s">
        <v>366</v>
      </c>
      <c r="C83" s="61">
        <f>'Built-In Assumptions'!E15</f>
        <v>20</v>
      </c>
      <c r="D83" s="977"/>
      <c r="F83" s="346"/>
      <c r="G83" s="346"/>
      <c r="H83" s="346"/>
      <c r="I83" s="346"/>
      <c r="J83" s="346"/>
    </row>
  </sheetData>
  <mergeCells count="4">
    <mergeCell ref="A1:XFD1"/>
    <mergeCell ref="B3:C3"/>
    <mergeCell ref="B36:C36"/>
    <mergeCell ref="B47:C4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732BF-42FF-4356-B273-6BB494089B22}">
  <sheetPr>
    <tabColor theme="3" tint="-0.499984740745262"/>
  </sheetPr>
  <dimension ref="A1:J69"/>
  <sheetViews>
    <sheetView workbookViewId="0">
      <selection activeCell="I32" sqref="I32"/>
    </sheetView>
  </sheetViews>
  <sheetFormatPr defaultRowHeight="12.75"/>
  <cols>
    <col min="1" max="1" width="3.140625" style="335" customWidth="1"/>
    <col min="2" max="2" width="41.85546875" style="335" bestFit="1" customWidth="1"/>
    <col min="3" max="3" width="9.5703125" style="335" bestFit="1" customWidth="1"/>
    <col min="4" max="4" width="14.85546875" style="335" customWidth="1"/>
    <col min="5" max="5" width="13.85546875" style="335" bestFit="1" customWidth="1"/>
    <col min="6" max="6" width="27.7109375" style="335" bestFit="1" customWidth="1"/>
    <col min="7" max="7" width="18.28515625" style="335" customWidth="1"/>
    <col min="8" max="8" width="28.42578125" style="335" customWidth="1"/>
    <col min="9" max="9" width="41.85546875" style="335" bestFit="1" customWidth="1"/>
    <col min="10" max="10" width="4" style="335" bestFit="1" customWidth="1"/>
    <col min="11" max="11" width="8.42578125" style="335" bestFit="1" customWidth="1"/>
    <col min="12" max="12" width="2.85546875" style="335" customWidth="1"/>
    <col min="13" max="13" width="31.28515625" style="335" bestFit="1" customWidth="1"/>
    <col min="14" max="14" width="9.5703125" style="335" bestFit="1" customWidth="1"/>
    <col min="15" max="15" width="9.140625" style="335"/>
    <col min="16" max="16" width="26" style="335" bestFit="1" customWidth="1"/>
    <col min="17" max="17" width="8.5703125" style="335" bestFit="1" customWidth="1"/>
    <col min="18" max="18" width="9.140625" style="335"/>
    <col min="19" max="19" width="16.5703125" style="335" bestFit="1" customWidth="1"/>
    <col min="20" max="16384" width="9.140625" style="335"/>
  </cols>
  <sheetData>
    <row r="1" spans="1:7" s="1114" customFormat="1" ht="15">
      <c r="A1" s="1114" t="s">
        <v>425</v>
      </c>
    </row>
    <row r="2" spans="1:7" ht="13.5" thickBot="1"/>
    <row r="3" spans="1:7" ht="13.5" thickBot="1">
      <c r="B3" s="1125" t="s">
        <v>512</v>
      </c>
      <c r="C3" s="1126"/>
      <c r="D3" s="1127"/>
      <c r="F3" s="1128" t="s">
        <v>406</v>
      </c>
      <c r="G3" s="1127"/>
    </row>
    <row r="4" spans="1:7" ht="13.5" thickBot="1">
      <c r="B4" s="336" t="s">
        <v>513</v>
      </c>
      <c r="C4" s="337"/>
      <c r="D4" s="937"/>
      <c r="F4" s="336" t="s">
        <v>396</v>
      </c>
      <c r="G4" s="1064">
        <f>G5</f>
        <v>6</v>
      </c>
    </row>
    <row r="5" spans="1:7" ht="13.5" thickBot="1">
      <c r="B5" s="338" t="s">
        <v>514</v>
      </c>
      <c r="C5" s="334"/>
      <c r="D5" s="936">
        <v>15</v>
      </c>
      <c r="E5" s="339"/>
      <c r="F5" s="338" t="s">
        <v>396</v>
      </c>
      <c r="G5" s="1065">
        <v>6</v>
      </c>
    </row>
    <row r="6" spans="1:7" ht="13.5" thickBot="1">
      <c r="B6" s="338" t="s">
        <v>515</v>
      </c>
      <c r="C6" s="334"/>
      <c r="D6" s="936">
        <v>8</v>
      </c>
      <c r="F6" s="336" t="s">
        <v>397</v>
      </c>
      <c r="G6" s="1066">
        <f>AVERAGE(G7:G10)</f>
        <v>4.75</v>
      </c>
    </row>
    <row r="7" spans="1:7" ht="13.5" thickBot="1">
      <c r="B7" s="336" t="s">
        <v>397</v>
      </c>
      <c r="C7" s="337"/>
      <c r="D7" s="937"/>
      <c r="F7" s="338" t="s">
        <v>398</v>
      </c>
      <c r="G7" s="1065">
        <v>6</v>
      </c>
    </row>
    <row r="8" spans="1:7">
      <c r="B8" s="338" t="s">
        <v>514</v>
      </c>
      <c r="C8" s="334"/>
      <c r="D8" s="934">
        <f>12/80</f>
        <v>0.15</v>
      </c>
      <c r="F8" s="338" t="s">
        <v>399</v>
      </c>
      <c r="G8" s="1065">
        <v>6</v>
      </c>
    </row>
    <row r="9" spans="1:7" ht="13.5" thickBot="1">
      <c r="B9" s="338" t="s">
        <v>515</v>
      </c>
      <c r="C9" s="334"/>
      <c r="D9" s="934">
        <f>100/50</f>
        <v>2</v>
      </c>
      <c r="F9" s="338" t="s">
        <v>599</v>
      </c>
      <c r="G9" s="1065">
        <v>3</v>
      </c>
    </row>
    <row r="10" spans="1:7" ht="13.5" thickBot="1">
      <c r="B10" s="336" t="s">
        <v>368</v>
      </c>
      <c r="C10" s="337"/>
      <c r="D10" s="937"/>
      <c r="F10" s="338" t="s">
        <v>388</v>
      </c>
      <c r="G10" s="1065">
        <v>4</v>
      </c>
    </row>
    <row r="11" spans="1:7" ht="13.5" thickBot="1">
      <c r="B11" s="338" t="s">
        <v>514</v>
      </c>
      <c r="C11" s="334"/>
      <c r="D11" s="934">
        <f>10/200</f>
        <v>0.05</v>
      </c>
      <c r="F11" s="336" t="s">
        <v>368</v>
      </c>
      <c r="G11" s="1066">
        <f>AVERAGE(G12:G16)</f>
        <v>5.2</v>
      </c>
    </row>
    <row r="12" spans="1:7" ht="13.5" thickBot="1">
      <c r="B12" s="338" t="s">
        <v>515</v>
      </c>
      <c r="C12" s="334"/>
      <c r="D12" s="934">
        <f>15/100</f>
        <v>0.15</v>
      </c>
      <c r="F12" s="338" t="s">
        <v>389</v>
      </c>
      <c r="G12" s="1065">
        <v>4</v>
      </c>
    </row>
    <row r="13" spans="1:7" ht="13.5" thickBot="1">
      <c r="B13" s="336" t="s">
        <v>386</v>
      </c>
      <c r="C13" s="337"/>
      <c r="D13" s="937"/>
      <c r="F13" s="338" t="s">
        <v>390</v>
      </c>
      <c r="G13" s="1065">
        <v>7</v>
      </c>
    </row>
    <row r="14" spans="1:7" ht="13.5" thickBot="1">
      <c r="B14" s="340" t="s">
        <v>516</v>
      </c>
      <c r="C14" s="341"/>
      <c r="D14" s="935">
        <f>10/400</f>
        <v>2.5000000000000001E-2</v>
      </c>
      <c r="F14" s="338" t="s">
        <v>391</v>
      </c>
      <c r="G14" s="1065">
        <v>6</v>
      </c>
    </row>
    <row r="15" spans="1:7" ht="13.5" thickBot="1">
      <c r="F15" s="338" t="s">
        <v>392</v>
      </c>
      <c r="G15" s="1065">
        <v>4</v>
      </c>
    </row>
    <row r="16" spans="1:7" ht="13.5" thickBot="1">
      <c r="B16" s="1125" t="s">
        <v>587</v>
      </c>
      <c r="C16" s="1126"/>
      <c r="D16" s="1127"/>
      <c r="F16" s="338" t="s">
        <v>393</v>
      </c>
      <c r="G16" s="1065">
        <v>5</v>
      </c>
    </row>
    <row r="17" spans="2:7" ht="13.5" thickBot="1">
      <c r="B17" s="336" t="s">
        <v>513</v>
      </c>
      <c r="C17" s="337"/>
      <c r="D17" s="1068"/>
      <c r="F17" s="336" t="s">
        <v>386</v>
      </c>
      <c r="G17" s="1066">
        <f>G18</f>
        <v>5</v>
      </c>
    </row>
    <row r="18" spans="2:7" ht="13.5" thickBot="1">
      <c r="B18" s="338" t="s">
        <v>588</v>
      </c>
      <c r="C18" s="334"/>
      <c r="D18" s="1069">
        <v>300</v>
      </c>
      <c r="F18" s="340" t="s">
        <v>386</v>
      </c>
      <c r="G18" s="1067">
        <v>5</v>
      </c>
    </row>
    <row r="19" spans="2:7" ht="13.5" thickBot="1">
      <c r="B19" s="336" t="s">
        <v>397</v>
      </c>
      <c r="C19" s="337"/>
      <c r="D19" s="1070"/>
    </row>
    <row r="20" spans="2:7" ht="13.5" thickBot="1">
      <c r="B20" s="338" t="s">
        <v>589</v>
      </c>
      <c r="C20" s="334"/>
      <c r="D20" s="1069">
        <f>AVERAGE(D21:D22)</f>
        <v>37.5</v>
      </c>
      <c r="F20" s="1128" t="s">
        <v>596</v>
      </c>
      <c r="G20" s="1127"/>
    </row>
    <row r="21" spans="2:7" ht="13.5" thickBot="1">
      <c r="B21" s="1075" t="s">
        <v>399</v>
      </c>
      <c r="C21" s="1076"/>
      <c r="D21" s="1077">
        <v>25</v>
      </c>
      <c r="F21" s="336" t="s">
        <v>396</v>
      </c>
      <c r="G21" s="1064">
        <f>G22</f>
        <v>10</v>
      </c>
    </row>
    <row r="22" spans="2:7" ht="13.5" thickBot="1">
      <c r="B22" s="1075" t="s">
        <v>398</v>
      </c>
      <c r="C22" s="1076"/>
      <c r="D22" s="1077">
        <v>50</v>
      </c>
      <c r="F22" s="338" t="s">
        <v>396</v>
      </c>
      <c r="G22" s="1065">
        <v>10</v>
      </c>
    </row>
    <row r="23" spans="2:7" ht="13.5" thickBot="1">
      <c r="B23" s="338" t="s">
        <v>590</v>
      </c>
      <c r="C23" s="334"/>
      <c r="D23" s="1069">
        <f>(3500+5000+1000)/3</f>
        <v>3166.6666666666665</v>
      </c>
      <c r="F23" s="336" t="s">
        <v>397</v>
      </c>
      <c r="G23" s="1082">
        <f>AVERAGE(G24:G25)</f>
        <v>9.2125000000000004</v>
      </c>
    </row>
    <row r="24" spans="2:7" ht="13.5" thickBot="1">
      <c r="B24" s="336" t="s">
        <v>368</v>
      </c>
      <c r="C24" s="337"/>
      <c r="D24" s="1070"/>
      <c r="F24" s="338" t="s">
        <v>597</v>
      </c>
      <c r="G24" s="1065">
        <v>10</v>
      </c>
    </row>
    <row r="25" spans="2:7" ht="13.5" thickBot="1">
      <c r="B25" s="338" t="s">
        <v>588</v>
      </c>
      <c r="C25" s="334"/>
      <c r="D25" s="1069">
        <v>800</v>
      </c>
      <c r="F25" s="338" t="s">
        <v>598</v>
      </c>
      <c r="G25" s="1079">
        <f>5+0.3+3+0.5/4</f>
        <v>8.4250000000000007</v>
      </c>
    </row>
    <row r="26" spans="2:7" ht="13.5" thickBot="1">
      <c r="B26" s="1071" t="s">
        <v>386</v>
      </c>
      <c r="C26" s="1072"/>
      <c r="D26" s="1070"/>
      <c r="F26" s="336" t="s">
        <v>368</v>
      </c>
      <c r="G26" s="1066">
        <f>AVERAGE(G27:G31)</f>
        <v>4.8</v>
      </c>
    </row>
    <row r="27" spans="2:7" ht="13.5" thickBot="1">
      <c r="B27" s="1073" t="s">
        <v>588</v>
      </c>
      <c r="C27" s="1074"/>
      <c r="D27" s="1078">
        <v>800</v>
      </c>
      <c r="F27" s="338" t="s">
        <v>389</v>
      </c>
      <c r="G27" s="1065">
        <v>4</v>
      </c>
    </row>
    <row r="28" spans="2:7">
      <c r="F28" s="338" t="s">
        <v>390</v>
      </c>
      <c r="G28" s="1065">
        <v>7</v>
      </c>
    </row>
    <row r="29" spans="2:7">
      <c r="F29" s="338" t="s">
        <v>391</v>
      </c>
      <c r="G29" s="1065">
        <v>5</v>
      </c>
    </row>
    <row r="30" spans="2:7">
      <c r="F30" s="338" t="s">
        <v>392</v>
      </c>
      <c r="G30" s="1065">
        <v>4</v>
      </c>
    </row>
    <row r="31" spans="2:7" ht="13.5" thickBot="1">
      <c r="F31" s="338" t="s">
        <v>393</v>
      </c>
      <c r="G31" s="1065">
        <v>4</v>
      </c>
    </row>
    <row r="32" spans="2:7" ht="13.5" thickBot="1">
      <c r="F32" s="336" t="s">
        <v>386</v>
      </c>
      <c r="G32" s="1066">
        <f>G33</f>
        <v>4</v>
      </c>
    </row>
    <row r="33" spans="6:7" ht="13.5" thickBot="1">
      <c r="F33" s="340" t="s">
        <v>386</v>
      </c>
      <c r="G33" s="1067">
        <v>4</v>
      </c>
    </row>
    <row r="52" ht="15.75" customHeight="1"/>
    <row r="68" spans="10:10">
      <c r="J68" s="339"/>
    </row>
    <row r="69" spans="10:10">
      <c r="J69" s="339"/>
    </row>
  </sheetData>
  <mergeCells count="5">
    <mergeCell ref="B16:D16"/>
    <mergeCell ref="F20:G20"/>
    <mergeCell ref="F3:G3"/>
    <mergeCell ref="A1:XFD1"/>
    <mergeCell ref="B3:D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7C743-F22F-42AB-9CB5-BEA838A89E71}">
  <sheetPr>
    <tabColor theme="3" tint="-0.499984740745262"/>
  </sheetPr>
  <dimension ref="B2:O31"/>
  <sheetViews>
    <sheetView workbookViewId="0">
      <selection activeCell="K17" sqref="K17"/>
    </sheetView>
  </sheetViews>
  <sheetFormatPr defaultRowHeight="15"/>
  <cols>
    <col min="1" max="1" width="8.7109375" style="89" customWidth="1"/>
    <col min="2" max="2" width="45.85546875" style="89" bestFit="1" customWidth="1"/>
    <col min="3" max="3" width="10.5703125" style="89" bestFit="1" customWidth="1"/>
    <col min="4" max="4" width="11.5703125" style="89" bestFit="1" customWidth="1"/>
    <col min="5" max="5" width="18.42578125" style="89" bestFit="1" customWidth="1"/>
    <col min="6" max="6" width="26.7109375" style="89" bestFit="1" customWidth="1"/>
    <col min="7" max="7" width="11.7109375" style="89" bestFit="1" customWidth="1"/>
    <col min="8" max="9" width="9.140625" style="89"/>
    <col min="10" max="10" width="36" style="89" bestFit="1" customWidth="1"/>
    <col min="11" max="11" width="12.7109375" style="89" bestFit="1" customWidth="1"/>
    <col min="12" max="16384" width="9.140625" style="89"/>
  </cols>
  <sheetData>
    <row r="2" spans="2:15" s="945" customFormat="1">
      <c r="B2" s="945" t="s">
        <v>549</v>
      </c>
    </row>
    <row r="3" spans="2:15">
      <c r="B3" s="946" t="s">
        <v>517</v>
      </c>
      <c r="C3" s="947"/>
      <c r="D3" s="947"/>
      <c r="E3" s="947"/>
      <c r="F3" s="947"/>
      <c r="G3" s="947"/>
      <c r="J3" s="948" t="s">
        <v>483</v>
      </c>
      <c r="K3" s="949"/>
      <c r="L3" s="949"/>
      <c r="M3" s="949"/>
      <c r="N3" s="949"/>
      <c r="O3" s="949"/>
    </row>
    <row r="4" spans="2:15">
      <c r="B4" s="950"/>
      <c r="C4" s="955"/>
      <c r="D4" s="950"/>
      <c r="E4" s="951" t="s">
        <v>484</v>
      </c>
      <c r="F4" s="950"/>
      <c r="G4" s="950"/>
      <c r="J4" s="951" t="s">
        <v>485</v>
      </c>
      <c r="K4" s="435">
        <v>1.3</v>
      </c>
      <c r="L4" s="951"/>
      <c r="M4" s="951"/>
      <c r="N4" s="951"/>
      <c r="O4" s="951"/>
    </row>
    <row r="5" spans="2:15">
      <c r="B5" s="951" t="s">
        <v>486</v>
      </c>
      <c r="C5" s="956">
        <f>72</f>
        <v>72</v>
      </c>
      <c r="D5" s="951"/>
      <c r="E5" s="434">
        <f>C8*1000</f>
        <v>1500</v>
      </c>
      <c r="F5" s="951"/>
      <c r="G5" s="951"/>
      <c r="J5" s="951" t="s">
        <v>487</v>
      </c>
      <c r="K5" s="435">
        <f>K4*30</f>
        <v>39</v>
      </c>
      <c r="L5" s="951"/>
      <c r="M5" s="951"/>
      <c r="N5" s="951"/>
      <c r="O5" s="951"/>
    </row>
    <row r="6" spans="2:15">
      <c r="B6" s="951" t="s">
        <v>488</v>
      </c>
      <c r="C6" s="956">
        <v>50</v>
      </c>
      <c r="D6" s="951"/>
      <c r="E6" s="951"/>
      <c r="F6" s="951"/>
      <c r="G6" s="951"/>
      <c r="J6" s="951" t="s">
        <v>489</v>
      </c>
      <c r="K6" s="435">
        <f>C6*K5</f>
        <v>1950</v>
      </c>
      <c r="L6" s="951"/>
      <c r="M6" s="951"/>
      <c r="N6" s="951"/>
      <c r="O6" s="951"/>
    </row>
    <row r="7" spans="2:15">
      <c r="B7" s="951" t="s">
        <v>490</v>
      </c>
      <c r="C7" s="956">
        <v>72</v>
      </c>
      <c r="D7" s="951"/>
      <c r="E7" s="951"/>
      <c r="F7" s="951"/>
      <c r="G7" s="951"/>
      <c r="J7" s="951" t="s">
        <v>491</v>
      </c>
      <c r="K7" s="952">
        <f>K6*'Production Assumptions'!C11</f>
        <v>2125.5</v>
      </c>
      <c r="L7" s="951"/>
      <c r="M7" s="951"/>
      <c r="N7" s="951"/>
      <c r="O7" s="951"/>
    </row>
    <row r="8" spans="2:15">
      <c r="B8" s="951" t="s">
        <v>492</v>
      </c>
      <c r="C8" s="956">
        <v>1.5</v>
      </c>
      <c r="D8" s="951"/>
      <c r="E8" s="951"/>
      <c r="F8" s="951"/>
      <c r="G8" s="951"/>
      <c r="J8" s="951"/>
      <c r="K8" s="951"/>
      <c r="L8" s="951"/>
      <c r="M8" s="951"/>
      <c r="N8" s="951"/>
      <c r="O8" s="951"/>
    </row>
    <row r="9" spans="2:15">
      <c r="B9" s="953" t="s">
        <v>493</v>
      </c>
      <c r="C9" s="956">
        <v>1.2</v>
      </c>
      <c r="D9" s="951"/>
      <c r="E9" s="951"/>
      <c r="F9" s="951"/>
      <c r="G9" s="951"/>
    </row>
    <row r="10" spans="2:15">
      <c r="B10" s="953" t="s">
        <v>494</v>
      </c>
      <c r="C10" s="956">
        <v>1</v>
      </c>
      <c r="D10" s="951"/>
      <c r="E10" s="951"/>
      <c r="F10" s="951"/>
      <c r="G10" s="951"/>
    </row>
    <row r="11" spans="2:15">
      <c r="B11" s="953" t="s">
        <v>495</v>
      </c>
      <c r="C11" s="956">
        <v>1</v>
      </c>
      <c r="D11" s="951"/>
      <c r="E11" s="951"/>
      <c r="F11" s="951"/>
      <c r="G11" s="951"/>
      <c r="J11" s="948" t="s">
        <v>496</v>
      </c>
      <c r="K11" s="949"/>
      <c r="L11" s="949"/>
      <c r="M11" s="949"/>
      <c r="N11" s="949"/>
      <c r="O11" s="949"/>
    </row>
    <row r="12" spans="2:15">
      <c r="B12" s="951" t="s">
        <v>457</v>
      </c>
      <c r="C12" s="957">
        <v>3000</v>
      </c>
      <c r="D12" s="951"/>
      <c r="E12" s="951"/>
      <c r="F12" s="951"/>
      <c r="G12" s="951"/>
      <c r="J12" s="951" t="s">
        <v>497</v>
      </c>
      <c r="K12" s="434">
        <f>C5*C15</f>
        <v>0</v>
      </c>
      <c r="L12" s="951"/>
      <c r="M12" s="951"/>
      <c r="N12" s="951"/>
      <c r="O12" s="951"/>
    </row>
    <row r="13" spans="2:15">
      <c r="B13" s="948" t="s">
        <v>498</v>
      </c>
      <c r="C13" s="958"/>
      <c r="D13" s="949"/>
      <c r="E13" s="949"/>
      <c r="F13" s="949"/>
      <c r="G13" s="949"/>
      <c r="J13" s="951"/>
      <c r="K13" s="951"/>
      <c r="L13" s="951"/>
      <c r="M13" s="951"/>
      <c r="N13" s="951"/>
      <c r="O13" s="951"/>
    </row>
    <row r="14" spans="2:15">
      <c r="B14" s="951" t="s">
        <v>499</v>
      </c>
      <c r="C14" s="956">
        <v>1</v>
      </c>
      <c r="D14" s="951"/>
      <c r="E14" s="951"/>
      <c r="F14" s="951"/>
      <c r="G14" s="951"/>
      <c r="J14" s="951" t="s">
        <v>500</v>
      </c>
      <c r="K14" s="978" t="str">
        <f>Interface!J7</f>
        <v>&lt;Select number of fish to produce per annum&gt;</v>
      </c>
      <c r="L14" s="951" t="s">
        <v>501</v>
      </c>
      <c r="M14" s="951"/>
      <c r="N14" s="951"/>
      <c r="O14" s="951"/>
    </row>
    <row r="15" spans="2:15">
      <c r="B15" s="951" t="s">
        <v>568</v>
      </c>
      <c r="C15" s="956">
        <f>'Production Assumptions'!F5</f>
        <v>0</v>
      </c>
      <c r="D15" s="951"/>
      <c r="E15" s="951"/>
      <c r="F15" s="951"/>
      <c r="G15" s="951"/>
      <c r="J15" s="951" t="s">
        <v>474</v>
      </c>
      <c r="K15" s="978" t="e">
        <f>K14/12</f>
        <v>#VALUE!</v>
      </c>
      <c r="L15" s="951"/>
      <c r="M15" s="951"/>
      <c r="N15" s="951"/>
      <c r="O15" s="951"/>
    </row>
    <row r="16" spans="2:15">
      <c r="B16" s="951" t="s">
        <v>502</v>
      </c>
      <c r="C16" s="956">
        <f>C15*C8</f>
        <v>0</v>
      </c>
      <c r="D16" s="951"/>
      <c r="E16" s="951"/>
      <c r="F16" s="951"/>
      <c r="G16" s="951"/>
      <c r="J16" s="951" t="s">
        <v>500</v>
      </c>
      <c r="K16" s="978" t="e">
        <f>(K14*'Production Assumptions'!C16)+K14</f>
        <v>#VALUE!</v>
      </c>
      <c r="L16" s="951" t="s">
        <v>504</v>
      </c>
      <c r="M16" s="951"/>
      <c r="N16" s="951"/>
      <c r="O16" s="951"/>
    </row>
    <row r="17" spans="2:15">
      <c r="B17" s="951" t="s">
        <v>503</v>
      </c>
      <c r="C17" s="956">
        <f>IF(Interface!E7=Validation!H66,'General Species Assumps'!G4,IF(Interface!E7=Validation!H67,'General Species Assumps'!G11,IF(Interface!E7=Validation!H68,'General Species Assumps'!G6,'General Species Assumps'!G17)))</f>
        <v>5</v>
      </c>
      <c r="D17" s="951"/>
      <c r="E17" s="951"/>
      <c r="F17" s="951"/>
      <c r="G17" s="951"/>
      <c r="J17" s="954" t="s">
        <v>506</v>
      </c>
      <c r="K17" s="978" t="e">
        <f>ROUNDUP(K16/C16,0)</f>
        <v>#VALUE!</v>
      </c>
      <c r="L17" s="951" t="s">
        <v>507</v>
      </c>
      <c r="M17" s="951"/>
      <c r="N17" s="951"/>
      <c r="O17" s="951"/>
    </row>
    <row r="18" spans="2:15">
      <c r="B18" s="951" t="s">
        <v>505</v>
      </c>
      <c r="C18" s="956">
        <f>IF(Interface!E7=Validation!H66,'General Species Assumps'!G21,IF(Interface!E7=Validation!H67,'General Species Assumps'!G26,IF(Interface!E7=Validation!H68,'General Species Assumps'!G26,'General Species Assumps'!G32)))</f>
        <v>4</v>
      </c>
      <c r="D18" s="951"/>
      <c r="E18" s="951"/>
      <c r="F18" s="951"/>
      <c r="G18" s="951"/>
      <c r="J18" s="954" t="s">
        <v>510</v>
      </c>
      <c r="K18" s="978" t="e">
        <f>ROUNDUP(K17/C5,0)</f>
        <v>#VALUE!</v>
      </c>
      <c r="L18" s="951" t="s">
        <v>507</v>
      </c>
      <c r="M18" s="951"/>
      <c r="N18" s="951"/>
      <c r="O18" s="951"/>
    </row>
    <row r="19" spans="2:15">
      <c r="B19" s="948" t="s">
        <v>527</v>
      </c>
      <c r="C19" s="959">
        <v>100</v>
      </c>
      <c r="D19" s="948"/>
      <c r="E19" s="948" t="s">
        <v>548</v>
      </c>
      <c r="F19" s="948" t="s">
        <v>508</v>
      </c>
      <c r="G19" s="948" t="s">
        <v>509</v>
      </c>
      <c r="J19" s="951"/>
      <c r="K19" s="978"/>
      <c r="L19" s="951"/>
      <c r="M19" s="951"/>
      <c r="N19" s="951"/>
      <c r="O19" s="951"/>
    </row>
    <row r="20" spans="2:15">
      <c r="B20" s="951" t="s">
        <v>546</v>
      </c>
      <c r="C20" s="978">
        <v>50</v>
      </c>
      <c r="D20" s="951"/>
      <c r="E20" s="434">
        <f>C20*C22</f>
        <v>200</v>
      </c>
      <c r="F20" s="952">
        <f>'General Species Assumps'!D5</f>
        <v>15</v>
      </c>
      <c r="G20" s="952">
        <f>E20*F20</f>
        <v>3000</v>
      </c>
    </row>
    <row r="21" spans="2:15">
      <c r="B21" s="951" t="s">
        <v>511</v>
      </c>
      <c r="C21" s="978">
        <v>400</v>
      </c>
      <c r="E21" s="434">
        <f>C21*C22</f>
        <v>1600</v>
      </c>
      <c r="F21" s="952">
        <f>'General Species Assumps'!D6</f>
        <v>8</v>
      </c>
      <c r="G21" s="952">
        <f>E21*F21</f>
        <v>12800</v>
      </c>
    </row>
    <row r="22" spans="2:15">
      <c r="B22" s="951" t="s">
        <v>547</v>
      </c>
      <c r="C22" s="956">
        <v>4</v>
      </c>
      <c r="D22" s="951"/>
      <c r="E22" s="951"/>
      <c r="F22" s="951"/>
      <c r="G22" s="951"/>
    </row>
    <row r="23" spans="2:15">
      <c r="B23" s="951"/>
      <c r="C23" s="957"/>
      <c r="D23" s="951"/>
      <c r="E23" s="951"/>
      <c r="F23" s="951"/>
      <c r="G23" s="951"/>
    </row>
    <row r="26" spans="2:15">
      <c r="B26" s="1025" t="s">
        <v>564</v>
      </c>
      <c r="C26" s="1026"/>
      <c r="D26" s="1026"/>
      <c r="E26" s="1026"/>
      <c r="F26" s="1026"/>
      <c r="G26" s="1026"/>
    </row>
    <row r="27" spans="2:15">
      <c r="B27" s="950"/>
      <c r="C27" s="955"/>
      <c r="D27" s="951" t="s">
        <v>3</v>
      </c>
      <c r="E27" s="951" t="s">
        <v>556</v>
      </c>
      <c r="F27" s="950"/>
      <c r="G27" s="950"/>
    </row>
    <row r="28" spans="2:15">
      <c r="B28" s="951" t="s">
        <v>553</v>
      </c>
      <c r="C28" s="956"/>
      <c r="D28" s="951">
        <v>200</v>
      </c>
      <c r="E28" s="978">
        <v>120</v>
      </c>
      <c r="F28" s="951"/>
      <c r="G28" s="951"/>
    </row>
    <row r="29" spans="2:15">
      <c r="B29" s="951" t="s">
        <v>557</v>
      </c>
      <c r="C29" s="956">
        <v>3</v>
      </c>
      <c r="D29" s="951">
        <v>1200</v>
      </c>
      <c r="E29" s="978">
        <f>E28/C29</f>
        <v>40</v>
      </c>
      <c r="F29" s="951"/>
      <c r="G29" s="951"/>
    </row>
    <row r="30" spans="2:15">
      <c r="B30" s="951" t="s">
        <v>554</v>
      </c>
      <c r="C30" s="956"/>
      <c r="D30" s="951">
        <v>10000</v>
      </c>
      <c r="E30" s="978">
        <v>1</v>
      </c>
      <c r="F30" s="951"/>
      <c r="G30" s="951"/>
    </row>
    <row r="31" spans="2:15">
      <c r="B31" s="951" t="s">
        <v>555</v>
      </c>
      <c r="C31" s="956"/>
      <c r="D31" s="951">
        <v>15000</v>
      </c>
      <c r="E31" s="978">
        <v>1</v>
      </c>
      <c r="F31" s="951"/>
      <c r="G31" s="95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3C4B4-FDDF-49EE-B01C-0F63FFD67C7A}">
  <sheetPr>
    <tabColor theme="3" tint="-0.499984740745262"/>
  </sheetPr>
  <dimension ref="B2:O22"/>
  <sheetViews>
    <sheetView workbookViewId="0">
      <selection activeCell="C21" sqref="C21"/>
    </sheetView>
  </sheetViews>
  <sheetFormatPr defaultRowHeight="15"/>
  <cols>
    <col min="1" max="1" width="8.7109375" style="89" customWidth="1"/>
    <col min="2" max="2" width="45.85546875" style="89" bestFit="1" customWidth="1"/>
    <col min="3" max="3" width="12.5703125" style="89" bestFit="1" customWidth="1"/>
    <col min="4" max="4" width="11.5703125" style="89" bestFit="1" customWidth="1"/>
    <col min="5" max="5" width="18.42578125" style="89" bestFit="1" customWidth="1"/>
    <col min="6" max="6" width="26.7109375" style="89" bestFit="1" customWidth="1"/>
    <col min="7" max="7" width="11.7109375" style="89" bestFit="1" customWidth="1"/>
    <col min="8" max="9" width="9.140625" style="89"/>
    <col min="10" max="10" width="36" style="89" bestFit="1" customWidth="1"/>
    <col min="11" max="11" width="12.7109375" style="89" bestFit="1" customWidth="1"/>
    <col min="12" max="16384" width="9.140625" style="89"/>
  </cols>
  <sheetData>
    <row r="2" spans="2:15" s="945" customFormat="1" ht="15.75" thickBot="1">
      <c r="B2" s="945" t="s">
        <v>549</v>
      </c>
    </row>
    <row r="3" spans="2:15">
      <c r="B3" s="946" t="s">
        <v>567</v>
      </c>
      <c r="C3" s="947"/>
      <c r="D3" s="947"/>
      <c r="E3" s="947"/>
      <c r="F3" s="947"/>
      <c r="G3" s="947"/>
      <c r="J3" s="1027" t="s">
        <v>483</v>
      </c>
      <c r="K3" s="1028"/>
      <c r="L3" s="1028"/>
      <c r="M3" s="1028"/>
      <c r="N3" s="1028"/>
      <c r="O3" s="1029"/>
    </row>
    <row r="4" spans="2:15">
      <c r="B4" s="950"/>
      <c r="C4" s="955"/>
      <c r="D4" s="950"/>
      <c r="E4" s="951" t="s">
        <v>484</v>
      </c>
      <c r="F4" s="950"/>
      <c r="G4" s="950"/>
      <c r="J4" s="1030" t="s">
        <v>574</v>
      </c>
      <c r="K4" s="435">
        <v>75</v>
      </c>
      <c r="L4" s="951"/>
      <c r="M4" s="951"/>
      <c r="N4" s="951"/>
      <c r="O4" s="1031"/>
    </row>
    <row r="5" spans="2:15">
      <c r="B5" s="951" t="s">
        <v>486</v>
      </c>
      <c r="C5" s="956">
        <v>6</v>
      </c>
      <c r="D5" s="951"/>
      <c r="E5" s="434">
        <f>C8*C5</f>
        <v>1152</v>
      </c>
      <c r="F5" s="951"/>
      <c r="G5" s="951"/>
      <c r="J5" s="1030" t="s">
        <v>573</v>
      </c>
      <c r="K5" s="435">
        <f>K4*30</f>
        <v>2250</v>
      </c>
      <c r="L5" s="951"/>
      <c r="M5" s="951"/>
      <c r="N5" s="951"/>
      <c r="O5" s="1031"/>
    </row>
    <row r="6" spans="2:15">
      <c r="B6" s="951" t="s">
        <v>565</v>
      </c>
      <c r="C6" s="956">
        <v>6</v>
      </c>
      <c r="D6" s="951"/>
      <c r="E6" s="951"/>
      <c r="F6" s="951"/>
      <c r="G6" s="951"/>
      <c r="J6" s="1030" t="s">
        <v>572</v>
      </c>
      <c r="K6" s="435">
        <f>C6*(K5+C5)</f>
        <v>13536</v>
      </c>
      <c r="L6" s="951"/>
      <c r="M6" s="951"/>
      <c r="N6" s="951"/>
      <c r="O6" s="1031"/>
    </row>
    <row r="7" spans="2:15">
      <c r="B7" s="951" t="s">
        <v>490</v>
      </c>
      <c r="C7" s="956">
        <v>72</v>
      </c>
      <c r="D7" s="951"/>
      <c r="E7" s="951"/>
      <c r="F7" s="951"/>
      <c r="G7" s="951"/>
      <c r="J7" s="1030" t="s">
        <v>571</v>
      </c>
      <c r="K7" s="952">
        <f>K6*'Production Assumptions'!C11</f>
        <v>14754.240000000002</v>
      </c>
      <c r="L7" s="951"/>
      <c r="M7" s="951"/>
      <c r="N7" s="951"/>
      <c r="O7" s="1031"/>
    </row>
    <row r="8" spans="2:15" ht="15.75" thickBot="1">
      <c r="B8" s="951" t="s">
        <v>492</v>
      </c>
      <c r="C8" s="956">
        <f>C9*C10*C11</f>
        <v>192</v>
      </c>
      <c r="D8" s="951"/>
      <c r="E8" s="951"/>
      <c r="F8" s="951"/>
      <c r="G8" s="951"/>
      <c r="J8" s="1032"/>
      <c r="K8" s="1033"/>
      <c r="L8" s="1033"/>
      <c r="M8" s="1033"/>
      <c r="N8" s="1033"/>
      <c r="O8" s="1034"/>
    </row>
    <row r="9" spans="2:15">
      <c r="B9" s="953" t="s">
        <v>493</v>
      </c>
      <c r="C9" s="956">
        <v>30</v>
      </c>
      <c r="D9" s="951"/>
      <c r="E9" s="951"/>
      <c r="F9" s="951"/>
      <c r="G9" s="951"/>
    </row>
    <row r="10" spans="2:15">
      <c r="B10" s="953" t="s">
        <v>494</v>
      </c>
      <c r="C10" s="956">
        <v>8</v>
      </c>
      <c r="D10" s="951"/>
      <c r="E10" s="951"/>
      <c r="F10" s="951"/>
      <c r="G10" s="951"/>
    </row>
    <row r="11" spans="2:15">
      <c r="B11" s="953" t="s">
        <v>566</v>
      </c>
      <c r="C11" s="956">
        <v>0.8</v>
      </c>
      <c r="D11" s="951"/>
      <c r="E11" s="951"/>
      <c r="F11" s="951"/>
      <c r="G11" s="951"/>
      <c r="J11" s="948" t="s">
        <v>496</v>
      </c>
      <c r="K11" s="949"/>
      <c r="L11" s="949"/>
      <c r="M11" s="949"/>
      <c r="N11" s="949"/>
      <c r="O11" s="949"/>
    </row>
    <row r="12" spans="2:15">
      <c r="B12" s="951" t="s">
        <v>570</v>
      </c>
      <c r="C12" s="957">
        <v>100000</v>
      </c>
      <c r="D12" s="951"/>
      <c r="E12" s="951"/>
      <c r="F12" s="951"/>
      <c r="G12" s="951"/>
      <c r="J12" s="951" t="s">
        <v>497</v>
      </c>
      <c r="K12" s="434">
        <f>C16*C5</f>
        <v>43200</v>
      </c>
      <c r="L12" s="951"/>
      <c r="M12" s="951"/>
      <c r="N12" s="951"/>
      <c r="O12" s="951"/>
    </row>
    <row r="13" spans="2:15">
      <c r="B13" s="948" t="s">
        <v>498</v>
      </c>
      <c r="C13" s="958"/>
      <c r="D13" s="949"/>
      <c r="E13" s="949"/>
      <c r="F13" s="949"/>
      <c r="G13" s="949"/>
      <c r="J13" s="951" t="s">
        <v>575</v>
      </c>
      <c r="K13" s="435">
        <v>6</v>
      </c>
      <c r="L13" s="951"/>
      <c r="M13" s="951"/>
      <c r="N13" s="951"/>
      <c r="O13" s="951"/>
    </row>
    <row r="14" spans="2:15">
      <c r="B14" s="951" t="s">
        <v>499</v>
      </c>
      <c r="C14" s="956">
        <v>1</v>
      </c>
      <c r="D14" s="951"/>
      <c r="E14" s="951"/>
      <c r="F14" s="951"/>
      <c r="G14" s="951"/>
      <c r="J14" s="951" t="s">
        <v>500</v>
      </c>
      <c r="K14" s="978" t="str">
        <f>Interface!J7</f>
        <v>&lt;Select number of fish to produce per annum&gt;</v>
      </c>
      <c r="L14" s="951" t="s">
        <v>501</v>
      </c>
      <c r="M14" s="951"/>
      <c r="N14" s="951"/>
      <c r="O14" s="951"/>
    </row>
    <row r="15" spans="2:15">
      <c r="B15" s="951" t="s">
        <v>568</v>
      </c>
      <c r="C15" s="956">
        <f>'Production Assumptions'!F6</f>
        <v>37.5</v>
      </c>
      <c r="D15" s="951"/>
      <c r="E15" s="951" t="s">
        <v>569</v>
      </c>
      <c r="F15" s="951"/>
      <c r="G15" s="951"/>
      <c r="J15" s="951" t="s">
        <v>474</v>
      </c>
      <c r="K15" s="978" t="e">
        <f>K14/12</f>
        <v>#VALUE!</v>
      </c>
      <c r="L15" s="951"/>
      <c r="M15" s="951"/>
      <c r="N15" s="951"/>
      <c r="O15" s="951"/>
    </row>
    <row r="16" spans="2:15">
      <c r="B16" s="951" t="s">
        <v>502</v>
      </c>
      <c r="C16" s="956">
        <f>C15*C8</f>
        <v>7200</v>
      </c>
      <c r="D16" s="951"/>
      <c r="E16" s="951"/>
      <c r="F16" s="951"/>
      <c r="G16" s="951"/>
      <c r="J16" s="951" t="s">
        <v>500</v>
      </c>
      <c r="K16" s="978" t="e">
        <f>(K14*'Production Assumptions'!C16)+K14</f>
        <v>#VALUE!</v>
      </c>
      <c r="L16" s="951" t="s">
        <v>504</v>
      </c>
      <c r="M16" s="951"/>
      <c r="N16" s="951"/>
      <c r="O16" s="951"/>
    </row>
    <row r="17" spans="2:15">
      <c r="B17" s="951" t="s">
        <v>503</v>
      </c>
      <c r="C17" s="956">
        <f>IF(Interface!E7=Validation!H66,'General Species Assumps'!G4,IF(Interface!E7=Validation!H67,'General Species Assumps'!G11,IF(Interface!E7=Validation!H68,'General Species Assumps'!G6,'General Species Assumps'!G17)))</f>
        <v>5</v>
      </c>
      <c r="D17" s="951"/>
      <c r="E17" s="951"/>
      <c r="F17" s="951"/>
      <c r="G17" s="951"/>
      <c r="J17" s="954" t="s">
        <v>506</v>
      </c>
      <c r="K17" s="978" t="e">
        <f>ROUNDUP(K16/C16,0)</f>
        <v>#VALUE!</v>
      </c>
      <c r="L17" s="951" t="s">
        <v>507</v>
      </c>
      <c r="M17" s="951"/>
      <c r="N17" s="951"/>
      <c r="O17" s="951"/>
    </row>
    <row r="18" spans="2:15">
      <c r="B18" s="951" t="s">
        <v>505</v>
      </c>
      <c r="C18" s="956">
        <f>IF(Interface!G7=Validation!F5,'General Species Assumps'!G24,0)</f>
        <v>0</v>
      </c>
      <c r="D18" s="951"/>
      <c r="E18" s="951"/>
      <c r="F18" s="951"/>
      <c r="G18" s="951"/>
      <c r="J18" s="954" t="s">
        <v>510</v>
      </c>
      <c r="K18" s="978">
        <v>6</v>
      </c>
      <c r="L18" s="951" t="s">
        <v>507</v>
      </c>
      <c r="M18" s="951"/>
      <c r="N18" s="951"/>
      <c r="O18" s="951"/>
    </row>
    <row r="19" spans="2:15">
      <c r="B19" s="948" t="s">
        <v>582</v>
      </c>
      <c r="C19" s="959">
        <v>100</v>
      </c>
      <c r="D19" s="948"/>
      <c r="E19" s="948" t="s">
        <v>548</v>
      </c>
      <c r="F19" s="948" t="s">
        <v>508</v>
      </c>
      <c r="G19" s="948" t="s">
        <v>509</v>
      </c>
      <c r="J19" s="951"/>
      <c r="K19" s="978"/>
      <c r="L19" s="951"/>
      <c r="M19" s="951"/>
      <c r="N19" s="951"/>
      <c r="O19" s="951"/>
    </row>
    <row r="20" spans="2:15">
      <c r="B20" s="951" t="s">
        <v>583</v>
      </c>
      <c r="C20" s="978">
        <v>150</v>
      </c>
      <c r="D20" s="951"/>
      <c r="E20" s="434">
        <f>C20</f>
        <v>150</v>
      </c>
      <c r="F20" s="952">
        <f>'General Species Assumps'!D5</f>
        <v>15</v>
      </c>
      <c r="G20" s="952">
        <f>E20*F20</f>
        <v>2250</v>
      </c>
    </row>
    <row r="21" spans="2:15">
      <c r="B21" s="951" t="s">
        <v>547</v>
      </c>
      <c r="C21" s="956">
        <f>C6</f>
        <v>6</v>
      </c>
      <c r="D21" s="951"/>
      <c r="E21" s="951"/>
      <c r="F21" s="951"/>
      <c r="G21" s="951"/>
    </row>
    <row r="22" spans="2:15">
      <c r="B22" s="951"/>
      <c r="C22" s="957"/>
      <c r="D22" s="951"/>
      <c r="E22" s="951"/>
      <c r="F22" s="951"/>
      <c r="G22" s="95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59F00-9E39-4A1A-9E57-F3F73CF687B6}">
  <sheetPr>
    <tabColor theme="3" tint="-0.499984740745262"/>
  </sheetPr>
  <dimension ref="A1:L36"/>
  <sheetViews>
    <sheetView zoomScale="80" zoomScaleNormal="80" workbookViewId="0">
      <selection activeCell="I5" sqref="I5"/>
    </sheetView>
  </sheetViews>
  <sheetFormatPr defaultColWidth="9.140625" defaultRowHeight="12.75"/>
  <cols>
    <col min="1" max="1" width="27.42578125" style="515" customWidth="1"/>
    <col min="2" max="2" width="33.85546875" style="515" bestFit="1" customWidth="1"/>
    <col min="3" max="3" width="32.140625" style="515" bestFit="1" customWidth="1"/>
    <col min="4" max="4" width="14.42578125" style="515" bestFit="1" customWidth="1"/>
    <col min="5" max="5" width="9.140625" style="515"/>
    <col min="6" max="6" width="17.140625" style="515" customWidth="1"/>
    <col min="7" max="7" width="14.42578125" style="515" bestFit="1" customWidth="1"/>
    <col min="8" max="8" width="33.85546875" style="515" bestFit="1" customWidth="1"/>
    <col min="9" max="9" width="17.28515625" style="515" bestFit="1" customWidth="1"/>
    <col min="10" max="10" width="9.140625" style="515"/>
    <col min="11" max="11" width="19.5703125" style="515" customWidth="1"/>
    <col min="12" max="12" width="11.28515625" style="515" customWidth="1"/>
    <col min="13" max="16384" width="9.140625" style="515"/>
  </cols>
  <sheetData>
    <row r="1" spans="1:12" s="1114" customFormat="1" ht="15">
      <c r="A1" s="1114" t="s">
        <v>544</v>
      </c>
    </row>
    <row r="2" spans="1:12" ht="13.5" thickBot="1"/>
    <row r="3" spans="1:12" ht="19.5" thickBot="1">
      <c r="B3" s="1004" t="s">
        <v>56</v>
      </c>
      <c r="C3" s="1005"/>
      <c r="D3" s="1091" t="s">
        <v>528</v>
      </c>
      <c r="E3" s="1092"/>
      <c r="F3" s="1093">
        <f>'Technical Information (RAS)'!E5</f>
        <v>1500</v>
      </c>
      <c r="H3" s="1023" t="s">
        <v>277</v>
      </c>
      <c r="I3" s="1024"/>
      <c r="J3" s="1006" t="s">
        <v>528</v>
      </c>
      <c r="K3" s="1007"/>
      <c r="L3" s="1008">
        <f>'Technical Information (POND)'!C8</f>
        <v>192</v>
      </c>
    </row>
    <row r="4" spans="1:12" ht="19.5" thickBot="1">
      <c r="B4" s="1009" t="s">
        <v>529</v>
      </c>
      <c r="C4" s="990"/>
      <c r="D4" s="1094"/>
      <c r="E4" s="1014"/>
      <c r="F4" s="1095"/>
      <c r="H4" s="1009" t="s">
        <v>529</v>
      </c>
      <c r="I4" s="990"/>
      <c r="J4" s="991" t="s">
        <v>530</v>
      </c>
      <c r="K4" s="992"/>
      <c r="L4" s="1010">
        <f>'Technical Information (POND)'!C16</f>
        <v>7200</v>
      </c>
    </row>
    <row r="5" spans="1:12" ht="19.5" thickBot="1">
      <c r="B5" s="1011" t="s">
        <v>531</v>
      </c>
      <c r="C5" s="993">
        <f>'Technical Information (RAS)'!C16</f>
        <v>0</v>
      </c>
      <c r="D5" s="994" t="s">
        <v>532</v>
      </c>
      <c r="E5" s="995"/>
      <c r="F5" s="1096" t="e">
        <f>'Technical Information (RAS)'!K17</f>
        <v>#VALUE!</v>
      </c>
      <c r="H5" s="1011" t="s">
        <v>531</v>
      </c>
      <c r="I5" s="993">
        <f>'Technical Information (POND)'!K12</f>
        <v>43200</v>
      </c>
      <c r="J5" s="994" t="s">
        <v>532</v>
      </c>
      <c r="K5" s="995"/>
      <c r="L5" s="1012" t="e">
        <f>'Technical Information (POND)'!K17</f>
        <v>#VALUE!</v>
      </c>
    </row>
    <row r="6" spans="1:12" ht="18.75">
      <c r="B6" s="1013" t="s">
        <v>533</v>
      </c>
      <c r="C6" s="996">
        <v>10</v>
      </c>
      <c r="D6" s="1014"/>
      <c r="E6" s="1014"/>
      <c r="F6" s="1015"/>
      <c r="H6" s="1013" t="s">
        <v>533</v>
      </c>
      <c r="I6" s="996">
        <v>10</v>
      </c>
      <c r="J6" s="1014"/>
      <c r="K6" s="1014"/>
      <c r="L6" s="1015"/>
    </row>
    <row r="7" spans="1:12" ht="18.75">
      <c r="B7" s="1013" t="s">
        <v>534</v>
      </c>
      <c r="C7" s="996">
        <f>(C5*C6)/1000</f>
        <v>0</v>
      </c>
      <c r="D7" s="1014"/>
      <c r="E7" s="1014"/>
      <c r="F7" s="1015"/>
      <c r="H7" s="1013" t="s">
        <v>534</v>
      </c>
      <c r="I7" s="996">
        <f>(L4*I6)/1000</f>
        <v>72</v>
      </c>
      <c r="J7" s="1014"/>
      <c r="K7" s="1014"/>
      <c r="L7" s="1015"/>
    </row>
    <row r="8" spans="1:12" ht="18.75">
      <c r="B8" s="1013" t="s">
        <v>535</v>
      </c>
      <c r="C8" s="996" t="e">
        <f>C7*F5</f>
        <v>#VALUE!</v>
      </c>
      <c r="D8" s="1014"/>
      <c r="E8" s="1014"/>
      <c r="F8" s="1015"/>
      <c r="H8" s="1013" t="s">
        <v>535</v>
      </c>
      <c r="I8" s="996" t="e">
        <f>I7*L5</f>
        <v>#VALUE!</v>
      </c>
      <c r="J8" s="1014"/>
      <c r="K8" s="1014"/>
      <c r="L8" s="1015"/>
    </row>
    <row r="9" spans="1:12" ht="19.5" thickBot="1">
      <c r="B9" s="1016" t="s">
        <v>536</v>
      </c>
      <c r="C9" s="997" t="e">
        <f>(C8/F3)*1000</f>
        <v>#VALUE!</v>
      </c>
      <c r="D9" s="1014"/>
      <c r="E9" s="1014"/>
      <c r="F9" s="1015"/>
      <c r="H9" s="1016" t="s">
        <v>536</v>
      </c>
      <c r="I9" s="997" t="e">
        <f>(I8/L3)*1000</f>
        <v>#VALUE!</v>
      </c>
      <c r="J9" s="1014"/>
      <c r="K9" s="1014"/>
      <c r="L9" s="1015"/>
    </row>
    <row r="10" spans="1:12" ht="19.5" thickBot="1">
      <c r="B10" s="1017"/>
      <c r="C10" s="998"/>
      <c r="D10" s="1014"/>
      <c r="E10" s="1014"/>
      <c r="F10" s="1015"/>
      <c r="H10" s="1017"/>
      <c r="I10" s="998"/>
      <c r="J10" s="1014"/>
      <c r="K10" s="1014"/>
      <c r="L10" s="1015"/>
    </row>
    <row r="11" spans="1:12" ht="19.5" thickBot="1">
      <c r="B11" s="1009" t="s">
        <v>537</v>
      </c>
      <c r="C11" s="999"/>
      <c r="D11" s="1014"/>
      <c r="E11" s="1014"/>
      <c r="F11" s="1015"/>
      <c r="H11" s="1009" t="s">
        <v>537</v>
      </c>
      <c r="I11" s="999"/>
      <c r="J11" s="1014"/>
      <c r="K11" s="1014"/>
      <c r="L11" s="1015"/>
    </row>
    <row r="12" spans="1:12" ht="18.75">
      <c r="B12" s="1011" t="s">
        <v>538</v>
      </c>
      <c r="C12" s="1002">
        <f>IF(Interface!E19=Validation!H66,6,5)</f>
        <v>5</v>
      </c>
      <c r="D12" s="1014"/>
      <c r="E12" s="1014"/>
      <c r="F12" s="1015"/>
      <c r="H12" s="1011" t="s">
        <v>538</v>
      </c>
      <c r="I12" s="1002">
        <f>C12</f>
        <v>5</v>
      </c>
      <c r="J12" s="1014"/>
      <c r="K12" s="1014"/>
      <c r="L12" s="1015"/>
    </row>
    <row r="13" spans="1:12" ht="18.75">
      <c r="B13" s="1013" t="s">
        <v>519</v>
      </c>
      <c r="C13" s="1003">
        <v>3</v>
      </c>
      <c r="D13" s="1014"/>
      <c r="E13" s="1014"/>
      <c r="F13" s="1015"/>
      <c r="H13" s="1013" t="s">
        <v>519</v>
      </c>
      <c r="I13" s="1003">
        <f>IF(Interface!G7=Validation!F5,'FEED and BIOMASS'!C27,0)</f>
        <v>0</v>
      </c>
      <c r="J13" s="1014"/>
      <c r="K13" s="1014"/>
      <c r="L13" s="1015"/>
    </row>
    <row r="14" spans="1:12" ht="18.75">
      <c r="B14" s="1013" t="s">
        <v>539</v>
      </c>
      <c r="C14" s="1003">
        <f>'Production Assumptions'!G4</f>
        <v>30</v>
      </c>
      <c r="D14" s="1014"/>
      <c r="E14" s="1014"/>
      <c r="F14" s="1015"/>
      <c r="H14" s="1013" t="s">
        <v>539</v>
      </c>
      <c r="I14" s="1003">
        <f>C14</f>
        <v>30</v>
      </c>
      <c r="J14" s="1014"/>
      <c r="K14" s="1014"/>
      <c r="L14" s="1015"/>
    </row>
    <row r="15" spans="1:12" ht="18.75">
      <c r="B15" s="1013" t="s">
        <v>540</v>
      </c>
      <c r="C15" s="1003">
        <f>C7</f>
        <v>0</v>
      </c>
      <c r="D15" s="1014"/>
      <c r="E15" s="1014"/>
      <c r="F15" s="1015"/>
      <c r="H15" s="1013" t="s">
        <v>540</v>
      </c>
      <c r="I15" s="1003">
        <f>I7</f>
        <v>72</v>
      </c>
      <c r="J15" s="1014"/>
      <c r="K15" s="1014"/>
      <c r="L15" s="1015"/>
    </row>
    <row r="16" spans="1:12" ht="18.75">
      <c r="B16" s="1013" t="s">
        <v>541</v>
      </c>
      <c r="C16" s="1003">
        <f>C15*C13</f>
        <v>0</v>
      </c>
      <c r="D16" s="1014"/>
      <c r="E16" s="1014"/>
      <c r="F16" s="1015"/>
      <c r="H16" s="1013" t="s">
        <v>541</v>
      </c>
      <c r="I16" s="1003">
        <f>I15*I13</f>
        <v>0</v>
      </c>
      <c r="J16" s="1014"/>
      <c r="K16" s="1014"/>
      <c r="L16" s="1015"/>
    </row>
    <row r="17" spans="1:12" s="1000" customFormat="1" ht="18.75">
      <c r="B17" s="1013" t="s">
        <v>542</v>
      </c>
      <c r="C17" s="1003" t="e">
        <f>F5*C16</f>
        <v>#VALUE!</v>
      </c>
      <c r="D17" s="1018"/>
      <c r="E17" s="1018"/>
      <c r="F17" s="1019"/>
      <c r="H17" s="1013" t="s">
        <v>542</v>
      </c>
      <c r="I17" s="1003" t="e">
        <f>L5*I16</f>
        <v>#VALUE!</v>
      </c>
      <c r="J17" s="1018"/>
      <c r="K17" s="1018"/>
      <c r="L17" s="1019"/>
    </row>
    <row r="18" spans="1:12" ht="18.75">
      <c r="B18" s="1013" t="s">
        <v>545</v>
      </c>
      <c r="C18" s="1003" t="e">
        <f>C17/C12</f>
        <v>#VALUE!</v>
      </c>
      <c r="D18" s="1014"/>
      <c r="E18" s="1014"/>
      <c r="F18" s="1015"/>
      <c r="H18" s="1013" t="s">
        <v>545</v>
      </c>
      <c r="I18" s="1003" t="e">
        <f>I17/12</f>
        <v>#VALUE!</v>
      </c>
      <c r="J18" s="1014"/>
      <c r="K18" s="1014"/>
      <c r="L18" s="1015"/>
    </row>
    <row r="19" spans="1:12" ht="19.5" thickBot="1">
      <c r="B19" s="1016" t="s">
        <v>543</v>
      </c>
      <c r="C19" s="1001" t="e">
        <f>C14*C18</f>
        <v>#VALUE!</v>
      </c>
      <c r="D19" s="1014"/>
      <c r="E19" s="1014"/>
      <c r="F19" s="1015"/>
      <c r="H19" s="1016" t="s">
        <v>543</v>
      </c>
      <c r="I19" s="1001" t="e">
        <f>I14*I18</f>
        <v>#VALUE!</v>
      </c>
      <c r="J19" s="1014"/>
      <c r="K19" s="1014"/>
      <c r="L19" s="1015"/>
    </row>
    <row r="20" spans="1:12" ht="13.5" thickBot="1">
      <c r="B20" s="1020"/>
      <c r="C20" s="1021"/>
      <c r="D20" s="1021"/>
      <c r="E20" s="1021"/>
      <c r="F20" s="1022"/>
      <c r="H20" s="1020"/>
      <c r="I20" s="1021"/>
      <c r="J20" s="1021"/>
      <c r="K20" s="1021"/>
      <c r="L20" s="1022"/>
    </row>
    <row r="22" spans="1:12" s="897" customFormat="1" ht="13.5" thickBot="1">
      <c r="A22" s="515"/>
      <c r="B22" s="515"/>
    </row>
    <row r="23" spans="1:12" s="897" customFormat="1" ht="13.5" thickBot="1">
      <c r="B23" s="1128" t="s">
        <v>519</v>
      </c>
      <c r="C23" s="1127"/>
    </row>
    <row r="24" spans="1:12" s="897" customFormat="1" ht="13.5" thickBot="1">
      <c r="B24" s="336" t="s">
        <v>396</v>
      </c>
      <c r="C24" s="1064">
        <f>C25</f>
        <v>3</v>
      </c>
    </row>
    <row r="25" spans="1:12" s="897" customFormat="1" ht="13.5" thickBot="1">
      <c r="B25" s="338" t="s">
        <v>396</v>
      </c>
      <c r="C25" s="1065">
        <v>3</v>
      </c>
    </row>
    <row r="26" spans="1:12" s="897" customFormat="1" ht="13.5" thickBot="1">
      <c r="B26" s="336" t="s">
        <v>397</v>
      </c>
      <c r="C26" s="1082">
        <f>AVERAGE(C27:C28)</f>
        <v>2.5</v>
      </c>
    </row>
    <row r="27" spans="1:12" s="897" customFormat="1">
      <c r="B27" s="338" t="s">
        <v>597</v>
      </c>
      <c r="C27" s="1065">
        <v>2</v>
      </c>
    </row>
    <row r="28" spans="1:12" s="897" customFormat="1" ht="13.5" thickBot="1">
      <c r="B28" s="338" t="s">
        <v>598</v>
      </c>
      <c r="C28" s="1079">
        <v>3</v>
      </c>
    </row>
    <row r="29" spans="1:12" ht="13.5" thickBot="1">
      <c r="A29" s="897"/>
      <c r="B29" s="336" t="s">
        <v>368</v>
      </c>
      <c r="C29" s="1066">
        <f>AVERAGE(C30:C34)</f>
        <v>3</v>
      </c>
    </row>
    <row r="30" spans="1:12">
      <c r="A30" s="897"/>
      <c r="B30" s="338" t="s">
        <v>389</v>
      </c>
      <c r="C30" s="1065">
        <v>3</v>
      </c>
    </row>
    <row r="31" spans="1:12">
      <c r="A31" s="897"/>
      <c r="B31" s="338" t="s">
        <v>390</v>
      </c>
      <c r="C31" s="1065">
        <v>3</v>
      </c>
    </row>
    <row r="32" spans="1:12">
      <c r="A32" s="897"/>
      <c r="B32" s="338" t="s">
        <v>391</v>
      </c>
      <c r="C32" s="1065">
        <v>3</v>
      </c>
    </row>
    <row r="33" spans="2:3">
      <c r="B33" s="338" t="s">
        <v>392</v>
      </c>
      <c r="C33" s="1065">
        <v>3</v>
      </c>
    </row>
    <row r="34" spans="2:3" ht="13.5" thickBot="1">
      <c r="B34" s="338" t="s">
        <v>393</v>
      </c>
      <c r="C34" s="1065">
        <v>3</v>
      </c>
    </row>
    <row r="35" spans="2:3" ht="13.5" thickBot="1">
      <c r="B35" s="336" t="s">
        <v>386</v>
      </c>
      <c r="C35" s="1066">
        <f>C36</f>
        <v>3</v>
      </c>
    </row>
    <row r="36" spans="2:3" ht="13.5" thickBot="1">
      <c r="B36" s="340" t="s">
        <v>386</v>
      </c>
      <c r="C36" s="1067">
        <v>3</v>
      </c>
    </row>
  </sheetData>
  <mergeCells count="2">
    <mergeCell ref="A1:XFD1"/>
    <mergeCell ref="B23:C2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Using the Model</vt:lpstr>
      <vt:lpstr>Interface</vt:lpstr>
      <vt:lpstr>Validation</vt:lpstr>
      <vt:lpstr>Built-In Assumptions</vt:lpstr>
      <vt:lpstr>Production Assumptions</vt:lpstr>
      <vt:lpstr>General Species Assumps</vt:lpstr>
      <vt:lpstr>Technical Information (RAS)</vt:lpstr>
      <vt:lpstr>Technical Information (POND)</vt:lpstr>
      <vt:lpstr>FEED and BIOMASS</vt:lpstr>
      <vt:lpstr>HR</vt:lpstr>
      <vt:lpstr>Bio-Model</vt:lpstr>
      <vt:lpstr>CAPEX</vt:lpstr>
      <vt:lpstr>OPEX - RAS</vt:lpstr>
      <vt:lpstr>Working Capital - RAS</vt:lpstr>
      <vt:lpstr>IS - RAS</vt:lpstr>
      <vt:lpstr>CF - RAS</vt:lpstr>
      <vt:lpstr>BS - RAS</vt:lpstr>
      <vt:lpstr>NPV &amp; PI - RAS</vt:lpstr>
      <vt:lpstr>IRR - RAS</vt:lpstr>
      <vt:lpstr>DEP - RAS</vt:lpstr>
      <vt:lpstr>Loan - RAS</vt:lpstr>
      <vt:lpstr>Loan Int &amp; Bal - RAS</vt:lpstr>
      <vt:lpstr>OPEX - Pond</vt:lpstr>
      <vt:lpstr>Working Capital - Pond</vt:lpstr>
      <vt:lpstr>IS - Pond</vt:lpstr>
      <vt:lpstr>BS - Pond</vt:lpstr>
      <vt:lpstr>CF - Pond</vt:lpstr>
      <vt:lpstr>IRR - Pond</vt:lpstr>
      <vt:lpstr>NPV &amp; PI - Pond</vt:lpstr>
      <vt:lpstr>DEP - Pond</vt:lpstr>
      <vt:lpstr>LOAN - Pond</vt:lpstr>
      <vt:lpstr>Loan Int &amp; Bal - Pond</vt:lpstr>
      <vt:lpstr>RISK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Urban-Econ</dc:creator>
  <cp:lastModifiedBy>Brenna-Leigh</cp:lastModifiedBy>
  <cp:lastPrinted>2018-02-27T07:29:13Z</cp:lastPrinted>
  <dcterms:created xsi:type="dcterms:W3CDTF">2017-08-01T07:02:53Z</dcterms:created>
  <dcterms:modified xsi:type="dcterms:W3CDTF">2018-10-11T14:43:46Z</dcterms:modified>
</cp:coreProperties>
</file>